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Бюджетный\ЮСЬКИВ\Реестр расходных обязательств\2018\"/>
    </mc:Choice>
  </mc:AlternateContent>
  <bookViews>
    <workbookView xWindow="0" yWindow="0" windowWidth="13920" windowHeight="1270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R154" i="1" l="1"/>
  <c r="Q154" i="1"/>
  <c r="R48" i="1"/>
  <c r="R78" i="1"/>
  <c r="Q78" i="1"/>
  <c r="R59" i="1"/>
  <c r="Q59" i="1"/>
  <c r="P162" i="1"/>
  <c r="P124" i="1"/>
  <c r="P99" i="1"/>
  <c r="P98" i="1" s="1"/>
  <c r="P52" i="1" l="1"/>
  <c r="P20" i="1" l="1"/>
  <c r="P11" i="1"/>
  <c r="S159" i="1" l="1"/>
  <c r="R159" i="1"/>
  <c r="Q159" i="1"/>
  <c r="P159" i="1"/>
  <c r="O162" i="1"/>
  <c r="O159" i="1" s="1"/>
  <c r="N162" i="1"/>
  <c r="N159" i="1" s="1"/>
  <c r="O166" i="1"/>
  <c r="N166" i="1"/>
  <c r="O160" i="1"/>
  <c r="N160" i="1"/>
  <c r="O154" i="1"/>
  <c r="N154" i="1"/>
  <c r="N124" i="1"/>
  <c r="O124" i="1"/>
  <c r="O117" i="1"/>
  <c r="N117" i="1"/>
  <c r="O109" i="1"/>
  <c r="N109" i="1"/>
  <c r="O103" i="1"/>
  <c r="N103" i="1"/>
  <c r="O99" i="1"/>
  <c r="N99" i="1"/>
  <c r="N98" i="1" s="1"/>
  <c r="S94" i="1"/>
  <c r="R94" i="1"/>
  <c r="Q94" i="1"/>
  <c r="P94" i="1"/>
  <c r="O94" i="1"/>
  <c r="N94" i="1"/>
  <c r="O98" i="1" l="1"/>
  <c r="O59" i="1"/>
  <c r="N59" i="1"/>
  <c r="O52" i="1"/>
  <c r="N52" i="1"/>
  <c r="S10" i="1"/>
  <c r="R10" i="1"/>
  <c r="Q10" i="1"/>
  <c r="P10" i="1"/>
  <c r="O20" i="1"/>
  <c r="N20" i="1"/>
  <c r="N11" i="1"/>
  <c r="N10" i="1" s="1"/>
  <c r="O11" i="1"/>
  <c r="O10" i="1" l="1"/>
  <c r="H31" i="2"/>
  <c r="G31" i="2"/>
  <c r="F31" i="2"/>
  <c r="E31" i="2"/>
  <c r="H9" i="2"/>
  <c r="G9" i="2"/>
  <c r="F9" i="2"/>
  <c r="E9" i="2"/>
  <c r="H53" i="2"/>
  <c r="G53" i="2"/>
  <c r="F53" i="2"/>
  <c r="E53" i="2"/>
  <c r="D53" i="2"/>
  <c r="H52" i="2"/>
  <c r="G52" i="2"/>
  <c r="F52" i="2"/>
  <c r="E52" i="2"/>
  <c r="D52" i="2"/>
  <c r="H51" i="2"/>
  <c r="G51" i="2"/>
  <c r="F51" i="2"/>
  <c r="E51" i="2"/>
  <c r="D51" i="2"/>
  <c r="H50" i="2"/>
  <c r="G50" i="2"/>
  <c r="F50" i="2"/>
  <c r="E50" i="2"/>
  <c r="D50" i="2"/>
  <c r="H49" i="2"/>
  <c r="G49" i="2"/>
  <c r="F49" i="2"/>
  <c r="E49" i="2"/>
  <c r="D49" i="2"/>
  <c r="H48" i="2"/>
  <c r="G48" i="2"/>
  <c r="F48" i="2"/>
  <c r="E48" i="2"/>
  <c r="D48" i="2"/>
  <c r="H47" i="2"/>
  <c r="G47" i="2"/>
  <c r="F47" i="2"/>
  <c r="E47" i="2"/>
  <c r="D47" i="2"/>
  <c r="H46" i="2"/>
  <c r="G46" i="2"/>
  <c r="F46" i="2"/>
  <c r="E46" i="2"/>
  <c r="D46" i="2"/>
  <c r="H45" i="2"/>
  <c r="G45" i="2"/>
  <c r="F45" i="2"/>
  <c r="E45" i="2"/>
  <c r="D45" i="2"/>
  <c r="H44" i="2"/>
  <c r="G44" i="2"/>
  <c r="F44" i="2"/>
  <c r="E44" i="2"/>
  <c r="D44" i="2"/>
  <c r="H43" i="2"/>
  <c r="G43" i="2"/>
  <c r="F43" i="2"/>
  <c r="E43" i="2"/>
  <c r="D43" i="2"/>
  <c r="H42" i="2"/>
  <c r="G42" i="2"/>
  <c r="F42" i="2"/>
  <c r="E42" i="2"/>
  <c r="D42" i="2"/>
  <c r="H41" i="2"/>
  <c r="G41" i="2"/>
  <c r="F41" i="2"/>
  <c r="E41" i="2"/>
  <c r="D41" i="2"/>
  <c r="H40" i="2"/>
  <c r="G40" i="2"/>
  <c r="F40" i="2"/>
  <c r="E40" i="2"/>
  <c r="D40" i="2"/>
  <c r="H39" i="2"/>
  <c r="G39" i="2"/>
  <c r="F39" i="2"/>
  <c r="E39" i="2"/>
  <c r="D39" i="2"/>
  <c r="H38" i="2"/>
  <c r="G38" i="2"/>
  <c r="F38" i="2"/>
  <c r="E38" i="2"/>
  <c r="D38" i="2"/>
  <c r="H37" i="2"/>
  <c r="G37" i="2"/>
  <c r="F37" i="2"/>
  <c r="E37" i="2"/>
  <c r="D37" i="2"/>
  <c r="H36" i="2"/>
  <c r="G36" i="2"/>
  <c r="F36" i="2"/>
  <c r="E36" i="2"/>
  <c r="D36" i="2"/>
  <c r="C53" i="2"/>
  <c r="C52" i="2"/>
  <c r="C51" i="2"/>
  <c r="C50" i="2"/>
  <c r="C48" i="2"/>
  <c r="C49" i="2"/>
  <c r="C47" i="2"/>
  <c r="C46" i="2"/>
  <c r="C45" i="2"/>
  <c r="C44" i="2"/>
  <c r="C43" i="2"/>
  <c r="C42" i="2"/>
  <c r="C41" i="2"/>
  <c r="C40" i="2"/>
  <c r="C39" i="2"/>
  <c r="C38" i="2"/>
  <c r="C37" i="2"/>
  <c r="C36" i="2"/>
  <c r="H57" i="2"/>
  <c r="G57" i="2"/>
  <c r="F57" i="2"/>
  <c r="E57" i="2"/>
  <c r="D57" i="2"/>
  <c r="H56" i="2"/>
  <c r="G56" i="2"/>
  <c r="F56" i="2"/>
  <c r="E56" i="2"/>
  <c r="D56" i="2"/>
  <c r="C57" i="2"/>
  <c r="C56" i="2"/>
  <c r="H34" i="2"/>
  <c r="G34" i="2"/>
  <c r="F34" i="2"/>
  <c r="E34" i="2"/>
  <c r="D34" i="2"/>
  <c r="C34" i="2"/>
  <c r="H33" i="2"/>
  <c r="G33" i="2"/>
  <c r="F33" i="2"/>
  <c r="E33" i="2"/>
  <c r="D33" i="2"/>
  <c r="C33" i="2"/>
  <c r="H32" i="2"/>
  <c r="G32" i="2"/>
  <c r="F32" i="2"/>
  <c r="E32" i="2"/>
  <c r="D32" i="2"/>
  <c r="C32" i="2"/>
  <c r="C30" i="2"/>
  <c r="H29" i="2"/>
  <c r="G29" i="2"/>
  <c r="F29" i="2"/>
  <c r="E29" i="2"/>
  <c r="D29" i="2"/>
  <c r="C29" i="2"/>
  <c r="H28" i="2"/>
  <c r="G28" i="2"/>
  <c r="F28" i="2"/>
  <c r="E28" i="2"/>
  <c r="D28" i="2"/>
  <c r="C28" i="2"/>
  <c r="H27" i="2"/>
  <c r="G27" i="2"/>
  <c r="F27" i="2"/>
  <c r="E27" i="2"/>
  <c r="D27" i="2"/>
  <c r="C27" i="2"/>
  <c r="H26" i="2"/>
  <c r="G26" i="2"/>
  <c r="F26" i="2"/>
  <c r="E26" i="2"/>
  <c r="D26" i="2"/>
  <c r="D25" i="2"/>
  <c r="C25" i="2"/>
  <c r="C26" i="2"/>
  <c r="H24" i="2"/>
  <c r="G24" i="2"/>
  <c r="F24" i="2"/>
  <c r="E24" i="2"/>
  <c r="D24" i="2"/>
  <c r="C24" i="2"/>
  <c r="H23" i="2"/>
  <c r="G23" i="2"/>
  <c r="F23" i="2"/>
  <c r="E23" i="2"/>
  <c r="D23" i="2"/>
  <c r="C23" i="2"/>
  <c r="H22" i="2"/>
  <c r="G22" i="2"/>
  <c r="F22" i="2"/>
  <c r="E22" i="2"/>
  <c r="D22" i="2"/>
  <c r="C22" i="2"/>
  <c r="H21" i="2"/>
  <c r="G21" i="2"/>
  <c r="F21" i="2"/>
  <c r="E21" i="2"/>
  <c r="D21" i="2"/>
  <c r="C21" i="2"/>
  <c r="H20" i="2"/>
  <c r="G20" i="2"/>
  <c r="F20" i="2"/>
  <c r="E20" i="2"/>
  <c r="D20" i="2"/>
  <c r="C20" i="2"/>
  <c r="H19" i="2"/>
  <c r="G19" i="2"/>
  <c r="F19" i="2"/>
  <c r="E19" i="2"/>
  <c r="D19" i="2"/>
  <c r="C19" i="2"/>
  <c r="H18" i="2"/>
  <c r="G18" i="2"/>
  <c r="F18" i="2"/>
  <c r="E18" i="2"/>
  <c r="D18" i="2"/>
  <c r="C18" i="2"/>
  <c r="H17" i="2"/>
  <c r="G17" i="2"/>
  <c r="F17" i="2"/>
  <c r="E17" i="2"/>
  <c r="D17" i="2"/>
  <c r="C17" i="2"/>
  <c r="H16" i="2"/>
  <c r="G16" i="2"/>
  <c r="F16" i="2"/>
  <c r="E16" i="2"/>
  <c r="D16" i="2"/>
  <c r="C16" i="2"/>
  <c r="H15" i="2"/>
  <c r="G15" i="2"/>
  <c r="F15" i="2"/>
  <c r="E15" i="2"/>
  <c r="D15" i="2"/>
  <c r="C15" i="2"/>
  <c r="H14" i="2"/>
  <c r="G14" i="2"/>
  <c r="F14" i="2"/>
  <c r="E14" i="2"/>
  <c r="D14" i="2"/>
  <c r="C14" i="2"/>
  <c r="H13" i="2"/>
  <c r="G13" i="2"/>
  <c r="C13" i="2"/>
  <c r="H12" i="2"/>
  <c r="G12" i="2"/>
  <c r="F12" i="2"/>
  <c r="E12" i="2"/>
  <c r="D12" i="2"/>
  <c r="C12" i="2"/>
  <c r="H11" i="2"/>
  <c r="G11" i="2"/>
  <c r="F11" i="2"/>
  <c r="E11" i="2"/>
  <c r="D11" i="2"/>
  <c r="C11" i="2"/>
  <c r="H10" i="2"/>
  <c r="G10" i="2"/>
  <c r="F10" i="2"/>
  <c r="E10" i="2"/>
  <c r="F35" i="2" l="1"/>
  <c r="G35" i="2"/>
  <c r="E35" i="2"/>
  <c r="H35" i="2"/>
  <c r="D35" i="2"/>
  <c r="C35" i="2"/>
  <c r="D55" i="2"/>
  <c r="D54" i="2" s="1"/>
  <c r="H55" i="2"/>
  <c r="H54" i="2" s="1"/>
  <c r="C55" i="2"/>
  <c r="C54" i="2" s="1"/>
  <c r="F55" i="2"/>
  <c r="F54" i="2" s="1"/>
  <c r="G55" i="2"/>
  <c r="G54" i="2" s="1"/>
  <c r="E55" i="2"/>
  <c r="E54" i="2" s="1"/>
  <c r="R139" i="1" l="1"/>
  <c r="G25" i="2" s="1"/>
  <c r="Q139" i="1"/>
  <c r="F25" i="2" s="1"/>
  <c r="E25" i="2"/>
  <c r="R124" i="1"/>
  <c r="Q124" i="1"/>
  <c r="Q98" i="1" s="1"/>
  <c r="Q52" i="1"/>
  <c r="F13" i="2" s="1"/>
  <c r="E13" i="2"/>
  <c r="F30" i="2" l="1"/>
  <c r="F8" i="2" s="1"/>
  <c r="F58" i="2" s="1"/>
  <c r="F60" i="2" s="1"/>
  <c r="G30" i="2"/>
  <c r="R98" i="1"/>
  <c r="E30" i="2"/>
  <c r="E8" i="2" s="1"/>
  <c r="E58" i="2" s="1"/>
  <c r="E60" i="2" s="1"/>
  <c r="G8" i="2"/>
  <c r="G58" i="2" s="1"/>
  <c r="G60" i="2" s="1"/>
  <c r="D13" i="2"/>
  <c r="S77" i="1"/>
  <c r="R77" i="1"/>
  <c r="Q77" i="1"/>
  <c r="S139" i="1"/>
  <c r="H25" i="2" s="1"/>
  <c r="D31" i="2" l="1"/>
  <c r="C31" i="2"/>
  <c r="D30" i="2"/>
  <c r="D10" i="2"/>
  <c r="C10" i="2"/>
  <c r="D9" i="2"/>
  <c r="C9" i="2"/>
  <c r="S124" i="1"/>
  <c r="H30" i="2" l="1"/>
  <c r="H8" i="2" s="1"/>
  <c r="H58" i="2" s="1"/>
  <c r="H60" i="2" s="1"/>
  <c r="S98" i="1"/>
  <c r="C8" i="2"/>
  <c r="C58" i="2" s="1"/>
  <c r="C60" i="2" s="1"/>
  <c r="D8" i="2"/>
  <c r="D58" i="2" s="1"/>
  <c r="D60" i="2" s="1"/>
  <c r="S67" i="1"/>
  <c r="S66" i="1" s="1"/>
  <c r="R67" i="1"/>
  <c r="R66" i="1" s="1"/>
  <c r="Q67" i="1"/>
  <c r="Q66" i="1" s="1"/>
  <c r="P67" i="1"/>
  <c r="O67" i="1"/>
  <c r="N67" i="1"/>
  <c r="S145" i="1"/>
  <c r="S144" i="1" s="1"/>
  <c r="R145" i="1"/>
  <c r="R144" i="1" s="1"/>
  <c r="Q145" i="1"/>
  <c r="Q144" i="1" s="1"/>
  <c r="P145" i="1"/>
  <c r="P144" i="1" s="1"/>
  <c r="O145" i="1"/>
  <c r="O144" i="1" s="1"/>
  <c r="N145" i="1"/>
  <c r="N144" i="1" s="1"/>
  <c r="S158" i="1"/>
  <c r="R158" i="1"/>
  <c r="Q158" i="1"/>
  <c r="P158" i="1"/>
  <c r="O158" i="1"/>
  <c r="S88" i="1" l="1"/>
  <c r="R88" i="1"/>
  <c r="Q88" i="1"/>
  <c r="P88" i="1"/>
  <c r="O88" i="1"/>
  <c r="N88" i="1"/>
  <c r="P180" i="1"/>
  <c r="Q93" i="1" l="1"/>
  <c r="Q87" i="1" s="1"/>
  <c r="Q180" i="1"/>
  <c r="P93" i="1"/>
  <c r="P87" i="1" s="1"/>
  <c r="R93" i="1"/>
  <c r="R87" i="1" s="1"/>
  <c r="R180" i="1"/>
  <c r="N93" i="1"/>
  <c r="N87" i="1" s="1"/>
  <c r="N180" i="1"/>
  <c r="O93" i="1"/>
  <c r="O87" i="1" s="1"/>
  <c r="O180" i="1"/>
  <c r="S93" i="1"/>
  <c r="S87" i="1" s="1"/>
  <c r="S180" i="1"/>
  <c r="S175" i="1"/>
  <c r="S174" i="1" s="1"/>
  <c r="R175" i="1"/>
  <c r="R174" i="1" s="1"/>
  <c r="Q175" i="1"/>
  <c r="Q174" i="1" s="1"/>
  <c r="P175" i="1"/>
  <c r="P174" i="1" s="1"/>
  <c r="O175" i="1"/>
  <c r="O174" i="1" s="1"/>
  <c r="N175" i="1"/>
  <c r="N174" i="1" s="1"/>
  <c r="S171" i="1"/>
  <c r="S170" i="1" s="1"/>
  <c r="R171" i="1"/>
  <c r="R170" i="1" s="1"/>
  <c r="Q171" i="1"/>
  <c r="Q170" i="1" s="1"/>
  <c r="P171" i="1"/>
  <c r="P170" i="1" s="1"/>
  <c r="O171" i="1"/>
  <c r="O170" i="1" s="1"/>
  <c r="N171" i="1"/>
  <c r="N170" i="1" s="1"/>
  <c r="N158" i="1"/>
  <c r="S131" i="1"/>
  <c r="R131" i="1"/>
  <c r="Q131" i="1"/>
  <c r="P131" i="1"/>
  <c r="O131" i="1"/>
  <c r="N131" i="1"/>
  <c r="S127" i="1"/>
  <c r="S97" i="1" s="1"/>
  <c r="R127" i="1"/>
  <c r="R97" i="1" s="1"/>
  <c r="Q127" i="1"/>
  <c r="Q97" i="1" s="1"/>
  <c r="P127" i="1"/>
  <c r="O127" i="1"/>
  <c r="N127" i="1"/>
  <c r="P77" i="1"/>
  <c r="O77" i="1"/>
  <c r="O66" i="1" s="1"/>
  <c r="N77" i="1"/>
  <c r="N66" i="1" s="1"/>
  <c r="S58" i="1"/>
  <c r="S57" i="1" s="1"/>
  <c r="R58" i="1"/>
  <c r="R57" i="1" s="1"/>
  <c r="Q58" i="1"/>
  <c r="Q57" i="1" s="1"/>
  <c r="P58" i="1"/>
  <c r="P57" i="1" s="1"/>
  <c r="O58" i="1"/>
  <c r="O57" i="1" s="1"/>
  <c r="N58" i="1"/>
  <c r="N57" i="1" s="1"/>
  <c r="S51" i="1"/>
  <c r="S50" i="1" s="1"/>
  <c r="R51" i="1"/>
  <c r="R50" i="1" s="1"/>
  <c r="Q51" i="1"/>
  <c r="Q50" i="1" s="1"/>
  <c r="P51" i="1"/>
  <c r="P50" i="1" s="1"/>
  <c r="O51" i="1"/>
  <c r="O50" i="1" s="1"/>
  <c r="N51" i="1"/>
  <c r="N50" i="1" s="1"/>
  <c r="S47" i="1"/>
  <c r="R47" i="1"/>
  <c r="Q47" i="1"/>
  <c r="P47" i="1"/>
  <c r="O47" i="1"/>
  <c r="N47" i="1"/>
  <c r="S39" i="1"/>
  <c r="R39" i="1"/>
  <c r="Q39" i="1"/>
  <c r="P39" i="1"/>
  <c r="O39" i="1"/>
  <c r="N39" i="1"/>
  <c r="S29" i="1"/>
  <c r="R29" i="1"/>
  <c r="Q29" i="1"/>
  <c r="P29" i="1"/>
  <c r="O29" i="1"/>
  <c r="N29" i="1"/>
  <c r="Q38" i="1" l="1"/>
  <c r="Q179" i="1"/>
  <c r="O179" i="1"/>
  <c r="S179" i="1"/>
  <c r="N179" i="1"/>
  <c r="R179" i="1"/>
  <c r="P130" i="1"/>
  <c r="P178" i="1"/>
  <c r="O130" i="1"/>
  <c r="O178" i="1"/>
  <c r="N130" i="1"/>
  <c r="N178" i="1"/>
  <c r="S130" i="1"/>
  <c r="S178" i="1"/>
  <c r="R178" i="1"/>
  <c r="R130" i="1"/>
  <c r="Q130" i="1"/>
  <c r="Q178" i="1"/>
  <c r="P179" i="1"/>
  <c r="P66" i="1"/>
  <c r="O9" i="1"/>
  <c r="Q9" i="1"/>
  <c r="P9" i="1"/>
  <c r="N97" i="1"/>
  <c r="P97" i="1"/>
  <c r="R9" i="1"/>
  <c r="S9" i="1"/>
  <c r="N38" i="1"/>
  <c r="O97" i="1"/>
  <c r="R38" i="1"/>
  <c r="S38" i="1"/>
  <c r="P38" i="1"/>
  <c r="N9" i="1"/>
  <c r="O38" i="1"/>
  <c r="P182" i="1" l="1"/>
  <c r="Q181" i="1"/>
  <c r="O181" i="1"/>
  <c r="S181" i="1"/>
  <c r="R181" i="1"/>
  <c r="R182" i="1"/>
  <c r="N181" i="1"/>
  <c r="N182" i="1"/>
  <c r="S182" i="1"/>
  <c r="S183" i="1" s="1"/>
  <c r="O182" i="1"/>
  <c r="Q182" i="1"/>
  <c r="P181" i="1"/>
  <c r="O183" i="1" l="1"/>
  <c r="N183" i="1"/>
  <c r="R183" i="1"/>
  <c r="Q183" i="1"/>
  <c r="P183" i="1"/>
</calcChain>
</file>

<file path=xl/sharedStrings.xml><?xml version="1.0" encoding="utf-8"?>
<sst xmlns="http://schemas.openxmlformats.org/spreadsheetml/2006/main" count="1080" uniqueCount="534">
  <si>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</si>
  <si>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</si>
  <si>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</si>
  <si>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</si>
  <si>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</si>
  <si>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</si>
  <si>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</si>
  <si>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</si>
  <si>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</si>
  <si>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</si>
  <si>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</si>
  <si>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</si>
  <si>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</si>
  <si>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</si>
  <si>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</si>
  <si>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</si>
  <si>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</si>
  <si>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</si>
  <si>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РГ-А-0100</t>
  </si>
  <si>
    <t xml:space="preserve">финансирование расходов на содержание органов местного самоуправления городских округов </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</si>
  <si>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</si>
  <si>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</si>
  <si>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</si>
  <si>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</si>
  <si>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</si>
  <si>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</si>
  <si>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</si>
  <si>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</si>
  <si>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</si>
  <si>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</si>
  <si>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</si>
  <si>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</si>
  <si>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</si>
  <si>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</si>
  <si>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</si>
  <si>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</si>
  <si>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</si>
  <si>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</si>
  <si>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РГ-А-0200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</si>
  <si>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</si>
  <si>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0113</t>
  </si>
  <si>
    <t>Ст.17; пункт 1, п/пункт 3</t>
  </si>
  <si>
    <t>14.12.2016 не установ</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</si>
  <si>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</si>
  <si>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</si>
  <si>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</si>
  <si>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РГ-А-0400</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</si>
  <si>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</si>
  <si>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</si>
  <si>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</si>
  <si>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</si>
  <si>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</si>
  <si>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РГ-А-0700</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</si>
  <si>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</si>
  <si>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26.06.2002 - не установ</t>
  </si>
  <si>
    <t>РГ-А-1300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</si>
  <si>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</si>
  <si>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</si>
  <si>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</si>
  <si>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16.03.2016 - не установ</t>
  </si>
  <si>
    <t>0501, 1003</t>
  </si>
  <si>
    <t xml:space="preserve">формирование и содержание муниципального архива </t>
  </si>
  <si>
    <t>РГ-А-3000</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</si>
  <si>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</si>
  <si>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</si>
  <si>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</si>
  <si>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</si>
  <si>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РГ-А-4200</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</si>
  <si>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</si>
  <si>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</si>
  <si>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</si>
  <si>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</si>
  <si>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</si>
  <si>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</si>
  <si>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</si>
  <si>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</si>
  <si>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</si>
  <si>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</si>
  <si>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</si>
  <si>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</si>
  <si>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16.08.2017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</si>
  <si>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</si>
  <si>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</si>
  <si>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</si>
  <si>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</si>
  <si>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</si>
  <si>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</si>
  <si>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</si>
  <si>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</si>
  <si>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</si>
  <si>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</si>
  <si>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</si>
  <si>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</si>
  <si>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29.02.2012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</si>
  <si>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</si>
  <si>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РГ-В-911.01</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</si>
  <si>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</si>
  <si>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</si>
  <si>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</si>
  <si>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</si>
  <si>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</si>
  <si>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</si>
  <si>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</si>
  <si>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</si>
  <si>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РГ-В-917.02</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</si>
  <si>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</si>
  <si>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</si>
  <si>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</si>
  <si>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</si>
  <si>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</si>
  <si>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</si>
  <si>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</si>
  <si>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</si>
  <si>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</si>
  <si>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</si>
  <si>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</si>
  <si>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</si>
  <si>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</si>
  <si>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</si>
  <si>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</si>
  <si>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29.02.2012 - не установ</t>
  </si>
  <si>
    <t>РГ-В-999.07</t>
  </si>
  <si>
    <t>Федеральный закон от 20.08.2004 № 113-ФЗ "О присяжных заседателях федеральных судов общей юрисдикции в Российской Федерации"</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</si>
  <si>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</si>
  <si>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</si>
  <si>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</si>
  <si>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</si>
  <si>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</si>
  <si>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</si>
  <si>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</si>
  <si>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</si>
  <si>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</si>
  <si>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</si>
  <si>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</si>
  <si>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</si>
  <si>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РГ-А-1000</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</si>
  <si>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</si>
  <si>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</si>
  <si>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</si>
  <si>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</si>
  <si>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</si>
  <si>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</si>
  <si>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</si>
  <si>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</si>
  <si>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</si>
  <si>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</si>
  <si>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</si>
  <si>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</si>
  <si>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</si>
  <si>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</si>
  <si>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</si>
  <si>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Решение Канского городского Совета депутатов Красноярского края от 16.02.2011 №15-91 "О Положении о порядке управления и распоряжения имуществом, находящимся в муниципальной собственности города Канска"</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</si>
  <si>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</si>
  <si>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</si>
  <si>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</si>
  <si>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</si>
  <si>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</si>
  <si>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</si>
  <si>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</si>
  <si>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</si>
  <si>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</si>
  <si>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</si>
  <si>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РГ-А-3400</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</si>
  <si>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</si>
  <si>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</si>
  <si>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</si>
  <si>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</si>
  <si>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</si>
  <si>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</si>
  <si>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</si>
  <si>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РГ-В-024.03</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</si>
  <si>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</si>
  <si>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</si>
  <si>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</si>
  <si>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</si>
  <si>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</si>
  <si>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</si>
  <si>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</si>
  <si>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</si>
  <si>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</si>
  <si>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</si>
  <si>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</si>
  <si>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</si>
  <si>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0106, 0111, 0113</t>
  </si>
  <si>
    <t>ст16, пункт 1, 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</si>
  <si>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</si>
  <si>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</si>
  <si>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</si>
  <si>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</si>
  <si>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</si>
  <si>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</si>
  <si>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</si>
  <si>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РГ-А-1600</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</si>
  <si>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</si>
  <si>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</si>
  <si>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</si>
  <si>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</si>
  <si>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</si>
  <si>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</si>
  <si>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</si>
  <si>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</si>
  <si>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</si>
  <si>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</si>
  <si>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</si>
  <si>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</si>
  <si>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</si>
  <si>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</si>
  <si>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</si>
  <si>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РГ-А-1800</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</si>
  <si>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</si>
  <si>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</si>
  <si>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</si>
  <si>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</si>
  <si>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</si>
  <si>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</si>
  <si>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</si>
  <si>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</si>
  <si>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</si>
  <si>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</si>
  <si>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</si>
  <si>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РГ-А-2000</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</si>
  <si>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</si>
  <si>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</si>
  <si>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</si>
  <si>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</si>
  <si>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</si>
  <si>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</si>
  <si>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</si>
  <si>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30.12.2015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</si>
  <si>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</si>
  <si>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</si>
  <si>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</si>
  <si>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</si>
  <si>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</si>
  <si>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</si>
  <si>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</si>
  <si>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</si>
  <si>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</si>
  <si>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</si>
  <si>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РГ-В-022.02</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</si>
  <si>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</si>
  <si>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</si>
  <si>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</si>
  <si>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</si>
  <si>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</si>
  <si>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</si>
  <si>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РГ-В-022.04</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</si>
  <si>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</si>
  <si>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</si>
  <si>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</si>
  <si>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</si>
  <si>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</si>
  <si>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</si>
  <si>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</si>
  <si>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</si>
  <si>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РГ-В-022.05</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</si>
  <si>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</si>
  <si>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</si>
  <si>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</si>
  <si>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</si>
  <si>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</si>
  <si>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</si>
  <si>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РГ-В-022.06</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</si>
  <si>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</si>
  <si>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</si>
  <si>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</si>
  <si>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</si>
  <si>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</si>
  <si>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</si>
  <si>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</si>
  <si>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РГ-В-022.07</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</si>
  <si>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</si>
  <si>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</si>
  <si>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</si>
  <si>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РГ-В-024.02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</si>
  <si>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</si>
  <si>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</si>
  <si>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</si>
  <si>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</si>
  <si>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</si>
  <si>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</si>
  <si>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</si>
  <si>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</si>
  <si>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Решение Канского городского совета депутатов от 15.12.2010 № 11-75 "О Положении о Муниципальном казенном учреждении "Управление строительства и жилищно-коммунального хозяйства администрации города Канска"</t>
  </si>
  <si>
    <t>01.01.2011- не установ</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</si>
  <si>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</si>
  <si>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</si>
  <si>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</si>
  <si>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</si>
  <si>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</si>
  <si>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</si>
  <si>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</si>
  <si>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</si>
  <si>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</si>
  <si>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</si>
  <si>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</si>
  <si>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</si>
  <si>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</si>
  <si>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</si>
  <si>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</si>
  <si>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РГ-А-1200</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</si>
  <si>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</si>
  <si>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</si>
  <si>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</si>
  <si>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</si>
  <si>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</si>
  <si>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</si>
  <si>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</si>
  <si>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</si>
  <si>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</si>
  <si>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</si>
  <si>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</si>
  <si>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</si>
  <si>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</si>
  <si>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</si>
  <si>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</si>
  <si>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</si>
  <si>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</si>
  <si>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</si>
  <si>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</si>
  <si>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</si>
  <si>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</si>
  <si>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</si>
  <si>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</si>
  <si>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</si>
  <si>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</si>
  <si>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РГ-А-2200</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</si>
  <si>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</si>
  <si>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</si>
  <si>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</si>
  <si>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РГ-А-2800</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</si>
  <si>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</si>
  <si>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</si>
  <si>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</si>
  <si>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</si>
  <si>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</si>
  <si>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</si>
  <si>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</si>
  <si>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</si>
  <si>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РГ-А-3100</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</si>
  <si>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</si>
  <si>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</si>
  <si>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</si>
  <si>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</si>
  <si>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</si>
  <si>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</si>
  <si>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</si>
  <si>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</si>
  <si>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</si>
  <si>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</si>
  <si>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</si>
  <si>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РГ-А-3200</t>
  </si>
  <si>
    <t xml:space="preserve">организация сбора, вывоза, утилизации и переработки бытовых и промышленных отходов </t>
  </si>
  <si>
    <t>0603</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</si>
  <si>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</si>
  <si>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</si>
  <si>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</si>
  <si>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</si>
  <si>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</si>
  <si>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</si>
  <si>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</si>
  <si>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</si>
  <si>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</si>
  <si>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</si>
  <si>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t>
  </si>
  <si>
    <t>17.07.2013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</si>
  <si>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</si>
  <si>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</si>
  <si>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РГ-А-3300</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</si>
  <si>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</si>
  <si>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</si>
  <si>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</si>
  <si>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</si>
  <si>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</si>
  <si>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</si>
  <si>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08.10.2014 - не установ</t>
  </si>
  <si>
    <t>РГ-В-049.01</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</si>
  <si>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</si>
  <si>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</si>
  <si>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</si>
  <si>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</si>
  <si>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</si>
  <si>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22.02.2017 - не устан.</t>
  </si>
  <si>
    <t>РГ-В-142.01</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</si>
  <si>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</si>
  <si>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</si>
  <si>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</si>
  <si>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</si>
  <si>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Постановление администрации города Канска от 27.09.2013 №1321 "Об утверждении порядка расходования средств субвенции на оказание услуг по отлову, учету, содержанию и иному обращению с безнадзорными домашними животными"</t>
  </si>
  <si>
    <t>02.10.2013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</si>
  <si>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</si>
  <si>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</si>
  <si>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</si>
  <si>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</si>
  <si>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</si>
  <si>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</si>
  <si>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РГ-А-4300</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</si>
  <si>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</si>
  <si>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</si>
  <si>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</si>
  <si>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</si>
  <si>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</si>
  <si>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</si>
  <si>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</si>
  <si>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</si>
  <si>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</si>
  <si>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</si>
  <si>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</si>
  <si>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</si>
  <si>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</si>
  <si>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</si>
  <si>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</si>
  <si>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</si>
  <si>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</si>
  <si>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</si>
  <si>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</si>
  <si>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</si>
  <si>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</si>
  <si>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</si>
  <si>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</si>
  <si>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</si>
  <si>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</si>
  <si>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</si>
  <si>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</si>
  <si>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</si>
  <si>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</si>
  <si>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</si>
  <si>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</si>
  <si>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</si>
  <si>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</si>
  <si>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</si>
  <si>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</si>
  <si>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РГ-А-2400</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</si>
  <si>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</si>
  <si>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</si>
  <si>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</si>
  <si>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</si>
  <si>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</si>
  <si>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</si>
  <si>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</si>
  <si>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</si>
  <si>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</si>
  <si>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</si>
  <si>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01.10.2013- не установ</t>
  </si>
  <si>
    <t>Решение Канского городского Совета депутатов Красноярского края от 25.09.2013 № 52-282  "О Положении об Управлении архитектуры, строительства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</si>
  <si>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</si>
  <si>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РГ-А-3500</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</si>
  <si>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</si>
  <si>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</si>
  <si>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</si>
  <si>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</si>
  <si>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</si>
  <si>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</si>
  <si>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</si>
  <si>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</si>
  <si>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</si>
  <si>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</si>
  <si>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</si>
  <si>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</si>
  <si>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</si>
  <si>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</si>
  <si>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</si>
  <si>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</si>
  <si>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</si>
  <si>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</si>
  <si>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</si>
  <si>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</si>
  <si>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РГ-В-032.03</t>
  </si>
  <si>
    <t>ст.26.3, пункт 2, п/пункт 24</t>
  </si>
  <si>
    <t>Закон Красноярского края от 09.12.2010 № 11-5393 "О социальной поддержке семей, имеющих детей, в Красноярском крае"</t>
  </si>
  <si>
    <t>07.01.2011 -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</si>
  <si>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</si>
  <si>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</si>
  <si>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</si>
  <si>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</si>
  <si>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</si>
  <si>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</si>
  <si>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РГ-В-036.02</t>
  </si>
  <si>
    <t>1002</t>
  </si>
  <si>
    <t>ст.26.3, часть 2, пункт 1</t>
  </si>
  <si>
    <t>ст.1, пункт 4</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</si>
  <si>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</si>
  <si>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</si>
  <si>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РГ-В-037.01</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</si>
  <si>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</si>
  <si>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</si>
  <si>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</si>
  <si>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</si>
  <si>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</si>
  <si>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</si>
  <si>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РГ-Г</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</si>
  <si>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</si>
  <si>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</si>
  <si>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Дополнительные гарантии муниципальным служащим в виде ежемесячных доплат к трудовой пенсии, пенсии за выслугу лет</t>
  </si>
  <si>
    <t>РГ-Г-0201</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</si>
  <si>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</si>
  <si>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</si>
  <si>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</si>
  <si>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</si>
  <si>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Меры социальной поддержки почетным гражданам</t>
  </si>
  <si>
    <t>РГ-Г-0207</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</si>
  <si>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</si>
  <si>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</si>
  <si>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</si>
  <si>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</si>
  <si>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Постановление администрации г. Канска Красноярского края от 30.03.2011 N 361 (ред. от 21.06.2012) "Об утверждении Административного регламента предоставления муниципальной услуги по предоставлению информации об организации предоставления дополнительного образования детей в муниципальных образовательных учреждениях дополнительного образования детей физкультурно-спортивной направленности, расположенных на территории муниципального образования город Канск"</t>
  </si>
  <si>
    <t>30.03.2011-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</si>
  <si>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</si>
  <si>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</si>
  <si>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</si>
  <si>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</si>
  <si>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</si>
  <si>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</si>
  <si>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</si>
  <si>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</si>
  <si>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</si>
  <si>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</si>
  <si>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</si>
  <si>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</si>
  <si>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</si>
  <si>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01.12.2010 - 28.06.2017</t>
  </si>
  <si>
    <t>16.07.2014 - 31.12.2016</t>
  </si>
  <si>
    <t>24-118 от 18.12.2017</t>
  </si>
  <si>
    <t>Реестр расходных обязательств города Канска на плановый период 2018-2020 годы</t>
  </si>
  <si>
    <t>26.02.2015 не установ</t>
  </si>
  <si>
    <t>Итого</t>
  </si>
  <si>
    <t>Отчетный период 2017 год</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</si>
  <si>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</si>
  <si>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0503 0909</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</si>
  <si>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</si>
  <si>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</si>
  <si>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Постановление администрации г. Канска Красноярского края от 12.01.2018 г. №07 "Об утверждении порядка расходования средств субсидии,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военного суда на 2018-2020 годы".</t>
  </si>
  <si>
    <t>Постановление администрации г. Канска №1923 от 02.12.2005 г. "О внесении изменений в Постановление №1656 от 26.09.2001 г. "О порядке выплаты ежемесячной доплаты к государственной пенсии лицам, замещающим муниципальные должности муниципальной службы в городе Канске"</t>
  </si>
  <si>
    <t>02.12.2005- не установ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</si>
</sst>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sz val="11"/>
      <color theme="3" tint="-0.249977111117893"/>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73">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6" fillId="0" borderId="0" xfId="1" applyFont="1" applyAlignment="1">
      <alignment wrapText="1"/>
    </xf>
    <xf numFmtId="0" fontId="7"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1" fillId="0" borderId="12" xfId="0" applyFont="1" applyBorder="1"/>
    <xf numFmtId="0" fontId="1"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xf numFmtId="0" fontId="9" fillId="0" borderId="0" xfId="0" applyFont="1"/>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9" fillId="0" borderId="0" xfId="0" applyFont="1" applyAlignment="1">
      <alignment horizontal="left" vertical="top"/>
    </xf>
    <xf numFmtId="0" fontId="1" fillId="0" borderId="0" xfId="0" applyFont="1" applyAlignment="1">
      <alignment horizontal="left" vertical="top"/>
    </xf>
    <xf numFmtId="0" fontId="8" fillId="0" borderId="2" xfId="0" applyFont="1" applyBorder="1" applyAlignment="1">
      <alignment horizontal="left" vertical="top"/>
    </xf>
    <xf numFmtId="4" fontId="0" fillId="0" borderId="1" xfId="0" applyNumberFormat="1" applyBorder="1"/>
    <xf numFmtId="4" fontId="10"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left"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8" fillId="0" borderId="1" xfId="0" applyFont="1" applyBorder="1" applyAlignment="1">
      <alignment horizontal="left" vertical="top" wrapText="1"/>
    </xf>
    <xf numFmtId="14" fontId="8" fillId="0" borderId="1" xfId="0" applyNumberFormat="1" applyFont="1" applyBorder="1" applyAlignment="1">
      <alignment horizontal="left" vertical="top" wrapText="1"/>
    </xf>
    <xf numFmtId="0" fontId="1" fillId="0" borderId="5" xfId="0" applyFont="1" applyBorder="1" applyAlignment="1">
      <alignment horizontal="left" vertical="top" wrapText="1"/>
    </xf>
    <xf numFmtId="4" fontId="3" fillId="0" borderId="2" xfId="0" applyNumberFormat="1" applyFont="1" applyBorder="1" applyAlignment="1">
      <alignment horizontal="left" vertical="top" wrapText="1"/>
    </xf>
    <xf numFmtId="4" fontId="3" fillId="3" borderId="3" xfId="0" applyNumberFormat="1" applyFont="1" applyFill="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3"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2" fillId="0" borderId="0" xfId="0" applyFont="1" applyAlignment="1">
      <alignment horizontal="center"/>
    </xf>
    <xf numFmtId="4" fontId="1" fillId="0" borderId="3" xfId="0" applyNumberFormat="1" applyFont="1" applyBorder="1" applyAlignment="1">
      <alignment horizontal="center" vertical="top"/>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6" fillId="0" borderId="2" xfId="1" applyFont="1" applyBorder="1" applyAlignment="1">
      <alignment horizontal="center" wrapText="1"/>
    </xf>
    <xf numFmtId="0" fontId="6" fillId="0" borderId="3" xfId="1" applyFont="1" applyBorder="1" applyAlignment="1">
      <alignment horizontal="center"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4"/>
  <sheetViews>
    <sheetView tabSelected="1" zoomScaleNormal="100" workbookViewId="0">
      <selection activeCell="C2" sqref="C2:P2"/>
    </sheetView>
  </sheetViews>
  <sheetFormatPr defaultRowHeight="15" x14ac:dyDescent="0.25"/>
  <cols>
    <col min="1" max="1" width="11" style="1" customWidth="1"/>
    <col min="2" max="2" width="32.42578125" style="1" customWidth="1"/>
    <col min="3" max="3" width="10.42578125" style="1" customWidth="1"/>
    <col min="4" max="4" width="10.28515625" style="26"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7.140625" style="1" customWidth="1"/>
    <col min="17" max="17" width="17" style="1" customWidth="1"/>
    <col min="18" max="18" width="17.42578125" style="1" customWidth="1"/>
    <col min="19" max="19" width="16.7109375" style="1" customWidth="1"/>
    <col min="20" max="16384" width="9.140625" style="1"/>
  </cols>
  <sheetData>
    <row r="1" spans="1:19" x14ac:dyDescent="0.25">
      <c r="A1" s="67"/>
    </row>
    <row r="2" spans="1:19" ht="18.75" x14ac:dyDescent="0.3">
      <c r="C2" s="163" t="s">
        <v>523</v>
      </c>
      <c r="D2" s="163"/>
      <c r="E2" s="163"/>
      <c r="F2" s="163"/>
      <c r="G2" s="163"/>
      <c r="H2" s="163"/>
      <c r="I2" s="163"/>
      <c r="J2" s="163"/>
      <c r="K2" s="163"/>
      <c r="L2" s="163"/>
      <c r="M2" s="163"/>
      <c r="N2" s="163"/>
      <c r="O2" s="163"/>
      <c r="P2" s="163"/>
    </row>
    <row r="3" spans="1:19" x14ac:dyDescent="0.25">
      <c r="A3" s="1" t="s">
        <v>526</v>
      </c>
      <c r="I3" s="24"/>
    </row>
    <row r="4" spans="1:19" x14ac:dyDescent="0.25">
      <c r="S4" s="49" t="s">
        <v>17</v>
      </c>
    </row>
    <row r="5" spans="1:19" ht="29.25" customHeight="1" x14ac:dyDescent="0.25">
      <c r="A5" s="152" t="s">
        <v>0</v>
      </c>
      <c r="B5" s="155" t="s">
        <v>1</v>
      </c>
      <c r="C5" s="159" t="s">
        <v>2</v>
      </c>
      <c r="D5" s="159"/>
      <c r="E5" s="159" t="s">
        <v>5</v>
      </c>
      <c r="F5" s="159"/>
      <c r="G5" s="159"/>
      <c r="H5" s="159" t="s">
        <v>9</v>
      </c>
      <c r="I5" s="160"/>
      <c r="J5" s="160"/>
      <c r="K5" s="159" t="s">
        <v>10</v>
      </c>
      <c r="L5" s="160"/>
      <c r="M5" s="160"/>
      <c r="N5" s="158" t="s">
        <v>16</v>
      </c>
      <c r="O5" s="158"/>
      <c r="P5" s="158"/>
      <c r="Q5" s="158"/>
      <c r="R5" s="158"/>
      <c r="S5" s="158"/>
    </row>
    <row r="6" spans="1:19" ht="45" x14ac:dyDescent="0.25">
      <c r="A6" s="153"/>
      <c r="B6" s="155"/>
      <c r="C6" s="156" t="s">
        <v>3</v>
      </c>
      <c r="D6" s="156" t="s">
        <v>4</v>
      </c>
      <c r="E6" s="155" t="s">
        <v>6</v>
      </c>
      <c r="F6" s="155" t="s">
        <v>7</v>
      </c>
      <c r="G6" s="155" t="s">
        <v>8</v>
      </c>
      <c r="H6" s="155" t="s">
        <v>6</v>
      </c>
      <c r="I6" s="155" t="s">
        <v>7</v>
      </c>
      <c r="J6" s="155" t="s">
        <v>8</v>
      </c>
      <c r="K6" s="155" t="s">
        <v>6</v>
      </c>
      <c r="L6" s="155" t="s">
        <v>7</v>
      </c>
      <c r="M6" s="155" t="s">
        <v>8</v>
      </c>
      <c r="N6" s="155" t="s">
        <v>13</v>
      </c>
      <c r="O6" s="155"/>
      <c r="P6" s="2" t="s">
        <v>14</v>
      </c>
      <c r="Q6" s="155" t="s">
        <v>15</v>
      </c>
      <c r="R6" s="157"/>
      <c r="S6" s="157"/>
    </row>
    <row r="7" spans="1:19" ht="27" customHeight="1" x14ac:dyDescent="0.25">
      <c r="A7" s="154"/>
      <c r="B7" s="155"/>
      <c r="C7" s="156"/>
      <c r="D7" s="156"/>
      <c r="E7" s="155"/>
      <c r="F7" s="155"/>
      <c r="G7" s="155"/>
      <c r="H7" s="155"/>
      <c r="I7" s="155"/>
      <c r="J7" s="155"/>
      <c r="K7" s="155"/>
      <c r="L7" s="155"/>
      <c r="M7" s="155"/>
      <c r="N7" s="5" t="s">
        <v>11</v>
      </c>
      <c r="O7" s="5" t="s">
        <v>12</v>
      </c>
      <c r="P7" s="5" t="s">
        <v>11</v>
      </c>
      <c r="Q7" s="5" t="s">
        <v>11</v>
      </c>
      <c r="R7" s="5" t="s">
        <v>11</v>
      </c>
      <c r="S7" s="5" t="s">
        <v>11</v>
      </c>
    </row>
    <row r="8" spans="1:19" x14ac:dyDescent="0.25">
      <c r="A8" s="3">
        <v>1</v>
      </c>
      <c r="B8" s="3">
        <v>2</v>
      </c>
      <c r="C8" s="3">
        <v>3</v>
      </c>
      <c r="D8" s="16">
        <v>4</v>
      </c>
      <c r="E8" s="3">
        <v>5</v>
      </c>
      <c r="F8" s="3">
        <v>6</v>
      </c>
      <c r="G8" s="3">
        <v>7</v>
      </c>
      <c r="H8" s="3">
        <v>8</v>
      </c>
      <c r="I8" s="3">
        <v>9</v>
      </c>
      <c r="J8" s="3">
        <v>10</v>
      </c>
      <c r="K8" s="3">
        <v>11</v>
      </c>
      <c r="L8" s="3">
        <v>12</v>
      </c>
      <c r="M8" s="3">
        <v>13</v>
      </c>
      <c r="N8" s="3">
        <v>14</v>
      </c>
      <c r="O8" s="3">
        <v>15</v>
      </c>
      <c r="P8" s="3">
        <v>16</v>
      </c>
      <c r="Q8" s="3">
        <v>17</v>
      </c>
      <c r="R8" s="3">
        <v>18</v>
      </c>
      <c r="S8" s="3">
        <v>19</v>
      </c>
    </row>
    <row r="9" spans="1:19" s="24" customFormat="1" ht="14.25" x14ac:dyDescent="0.2">
      <c r="A9" s="48"/>
      <c r="B9" s="48" t="s">
        <v>20</v>
      </c>
      <c r="C9" s="48">
        <v>901</v>
      </c>
      <c r="D9" s="48"/>
      <c r="E9" s="48"/>
      <c r="F9" s="48"/>
      <c r="G9" s="48"/>
      <c r="H9" s="48"/>
      <c r="I9" s="48"/>
      <c r="J9" s="48"/>
      <c r="K9" s="48"/>
      <c r="L9" s="48"/>
      <c r="M9" s="48"/>
      <c r="N9" s="62">
        <f t="shared" ref="N9:S9" si="0">N10+N29</f>
        <v>43525400.059999995</v>
      </c>
      <c r="O9" s="62">
        <f t="shared" si="0"/>
        <v>43453787.549999997</v>
      </c>
      <c r="P9" s="62">
        <f t="shared" si="0"/>
        <v>43774808</v>
      </c>
      <c r="Q9" s="62">
        <f t="shared" si="0"/>
        <v>40952890</v>
      </c>
      <c r="R9" s="62">
        <f t="shared" si="0"/>
        <v>40472711</v>
      </c>
      <c r="S9" s="62">
        <f t="shared" si="0"/>
        <v>40472711</v>
      </c>
    </row>
    <row r="10" spans="1:19" s="24" customFormat="1" ht="99.75" x14ac:dyDescent="0.2">
      <c r="A10" s="23" t="s">
        <v>84</v>
      </c>
      <c r="B10" s="18" t="s">
        <v>83</v>
      </c>
      <c r="C10" s="8"/>
      <c r="D10" s="8"/>
      <c r="E10" s="8"/>
      <c r="F10" s="8"/>
      <c r="G10" s="8"/>
      <c r="H10" s="8"/>
      <c r="I10" s="8"/>
      <c r="J10" s="8"/>
      <c r="K10" s="8"/>
      <c r="L10" s="8"/>
      <c r="M10" s="8"/>
      <c r="N10" s="63">
        <f>N11+N16+N18+N20+N22+N24+N28</f>
        <v>41216400.059999995</v>
      </c>
      <c r="O10" s="63">
        <f t="shared" ref="O10:S10" si="1">O11+O16+O18+O20+O22+O24+O28</f>
        <v>41213805.149999999</v>
      </c>
      <c r="P10" s="63">
        <f t="shared" si="1"/>
        <v>41046108</v>
      </c>
      <c r="Q10" s="63">
        <f t="shared" si="1"/>
        <v>38514890</v>
      </c>
      <c r="R10" s="63">
        <f t="shared" si="1"/>
        <v>38025911</v>
      </c>
      <c r="S10" s="63">
        <f t="shared" si="1"/>
        <v>38025911</v>
      </c>
    </row>
    <row r="11" spans="1:19" ht="45" x14ac:dyDescent="0.25">
      <c r="A11" s="146" t="s">
        <v>18</v>
      </c>
      <c r="B11" s="124" t="s">
        <v>19</v>
      </c>
      <c r="C11" s="149">
        <v>901</v>
      </c>
      <c r="D11" s="107" t="s">
        <v>21</v>
      </c>
      <c r="E11" s="124" t="s">
        <v>22</v>
      </c>
      <c r="F11" s="124" t="s">
        <v>457</v>
      </c>
      <c r="G11" s="107" t="s">
        <v>23</v>
      </c>
      <c r="H11" s="124" t="s">
        <v>26</v>
      </c>
      <c r="I11" s="136" t="s">
        <v>74</v>
      </c>
      <c r="J11" s="107" t="s">
        <v>28</v>
      </c>
      <c r="K11" s="10" t="s">
        <v>31</v>
      </c>
      <c r="L11" s="4"/>
      <c r="M11" s="10" t="s">
        <v>32</v>
      </c>
      <c r="N11" s="144">
        <f>1334307.86+23808153.15+39060+624069.4</f>
        <v>25805590.409999996</v>
      </c>
      <c r="O11" s="144">
        <f>1334307.86+23806454.59+39060+623627.4</f>
        <v>25803449.849999998</v>
      </c>
      <c r="P11" s="76">
        <f>1331533+24652503+3576199.49-100000</f>
        <v>29460235.490000002</v>
      </c>
      <c r="Q11" s="76">
        <v>28983652</v>
      </c>
      <c r="R11" s="144">
        <v>28494673</v>
      </c>
      <c r="S11" s="144">
        <v>28494673</v>
      </c>
    </row>
    <row r="12" spans="1:19" ht="53.25" customHeight="1" x14ac:dyDescent="0.25">
      <c r="A12" s="147"/>
      <c r="B12" s="125"/>
      <c r="C12" s="150"/>
      <c r="D12" s="123"/>
      <c r="E12" s="126"/>
      <c r="F12" s="126"/>
      <c r="G12" s="108"/>
      <c r="H12" s="126"/>
      <c r="I12" s="138"/>
      <c r="J12" s="108"/>
      <c r="K12" s="10"/>
      <c r="L12" s="4"/>
      <c r="M12" s="10"/>
      <c r="N12" s="145"/>
      <c r="O12" s="145"/>
      <c r="P12" s="77"/>
      <c r="Q12" s="77"/>
      <c r="R12" s="145"/>
      <c r="S12" s="145"/>
    </row>
    <row r="13" spans="1:19" ht="285" x14ac:dyDescent="0.25">
      <c r="A13" s="147"/>
      <c r="B13" s="125"/>
      <c r="C13" s="150"/>
      <c r="D13" s="123"/>
      <c r="E13" s="9" t="s">
        <v>24</v>
      </c>
      <c r="F13" s="7" t="s">
        <v>74</v>
      </c>
      <c r="G13" s="9" t="s">
        <v>25</v>
      </c>
      <c r="H13" s="10" t="s">
        <v>29</v>
      </c>
      <c r="I13" s="11" t="s">
        <v>74</v>
      </c>
      <c r="J13" s="10" t="s">
        <v>30</v>
      </c>
      <c r="K13" s="10" t="s">
        <v>37</v>
      </c>
      <c r="L13" s="4"/>
      <c r="M13" s="10" t="s">
        <v>462</v>
      </c>
      <c r="N13" s="145"/>
      <c r="O13" s="145"/>
      <c r="P13" s="77"/>
      <c r="Q13" s="77"/>
      <c r="R13" s="145"/>
      <c r="S13" s="145"/>
    </row>
    <row r="14" spans="1:19" x14ac:dyDescent="0.25">
      <c r="A14" s="147"/>
      <c r="B14" s="125"/>
      <c r="C14" s="150"/>
      <c r="D14" s="123"/>
      <c r="E14" s="6"/>
      <c r="F14" s="7"/>
      <c r="G14" s="9"/>
      <c r="H14" s="4"/>
      <c r="I14" s="4"/>
      <c r="J14" s="4"/>
      <c r="K14" s="65"/>
      <c r="L14" s="66"/>
      <c r="M14" s="64"/>
      <c r="N14" s="145"/>
      <c r="O14" s="145"/>
      <c r="P14" s="77"/>
      <c r="Q14" s="77"/>
      <c r="R14" s="145"/>
      <c r="S14" s="145"/>
    </row>
    <row r="15" spans="1:19" ht="195" x14ac:dyDescent="0.25">
      <c r="A15" s="148"/>
      <c r="B15" s="126"/>
      <c r="C15" s="151"/>
      <c r="D15" s="108"/>
      <c r="E15" s="4"/>
      <c r="F15" s="4"/>
      <c r="G15" s="4"/>
      <c r="H15" s="4"/>
      <c r="I15" s="4"/>
      <c r="J15" s="4"/>
      <c r="K15" s="13" t="s">
        <v>35</v>
      </c>
      <c r="L15" s="4"/>
      <c r="M15" s="10" t="s">
        <v>42</v>
      </c>
      <c r="N15" s="164"/>
      <c r="O15" s="164"/>
      <c r="P15" s="78"/>
      <c r="Q15" s="78"/>
      <c r="R15" s="145"/>
      <c r="S15" s="145"/>
    </row>
    <row r="16" spans="1:19" ht="30" x14ac:dyDescent="0.25">
      <c r="A16" s="107" t="s">
        <v>38</v>
      </c>
      <c r="B16" s="124" t="s">
        <v>39</v>
      </c>
      <c r="C16" s="107">
        <v>901</v>
      </c>
      <c r="D16" s="127" t="s">
        <v>40</v>
      </c>
      <c r="E16" s="124" t="s">
        <v>22</v>
      </c>
      <c r="F16" s="124" t="s">
        <v>458</v>
      </c>
      <c r="G16" s="107" t="s">
        <v>23</v>
      </c>
      <c r="H16" s="14"/>
      <c r="I16" s="10"/>
      <c r="J16" s="10"/>
      <c r="K16" s="10" t="s">
        <v>31</v>
      </c>
      <c r="L16" s="7" t="s">
        <v>43</v>
      </c>
      <c r="M16" s="10" t="s">
        <v>45</v>
      </c>
      <c r="N16" s="111">
        <v>4718388.2300000004</v>
      </c>
      <c r="O16" s="111">
        <v>4718388.2300000004</v>
      </c>
      <c r="P16" s="71">
        <v>4419026</v>
      </c>
      <c r="Q16" s="71">
        <v>4257303</v>
      </c>
      <c r="R16" s="161">
        <v>4257303</v>
      </c>
      <c r="S16" s="161">
        <v>4257303</v>
      </c>
    </row>
    <row r="17" spans="1:19" ht="90" x14ac:dyDescent="0.25">
      <c r="A17" s="108"/>
      <c r="B17" s="126"/>
      <c r="C17" s="108"/>
      <c r="D17" s="129"/>
      <c r="E17" s="126"/>
      <c r="F17" s="126"/>
      <c r="G17" s="108"/>
      <c r="H17" s="10"/>
      <c r="I17" s="10"/>
      <c r="J17" s="10"/>
      <c r="K17" s="10" t="s">
        <v>44</v>
      </c>
      <c r="L17" s="7"/>
      <c r="M17" s="10" t="s">
        <v>524</v>
      </c>
      <c r="N17" s="112"/>
      <c r="O17" s="112"/>
      <c r="P17" s="73"/>
      <c r="Q17" s="73"/>
      <c r="R17" s="162"/>
      <c r="S17" s="162"/>
    </row>
    <row r="18" spans="1:19" ht="90" x14ac:dyDescent="0.25">
      <c r="A18" s="107" t="s">
        <v>46</v>
      </c>
      <c r="B18" s="124" t="s">
        <v>47</v>
      </c>
      <c r="C18" s="107">
        <v>901</v>
      </c>
      <c r="D18" s="127" t="s">
        <v>48</v>
      </c>
      <c r="E18" s="10" t="s">
        <v>22</v>
      </c>
      <c r="F18" s="10" t="s">
        <v>459</v>
      </c>
      <c r="G18" s="10" t="s">
        <v>23</v>
      </c>
      <c r="H18" s="10" t="s">
        <v>50</v>
      </c>
      <c r="I18" s="10" t="s">
        <v>461</v>
      </c>
      <c r="J18" s="10" t="s">
        <v>51</v>
      </c>
      <c r="K18" s="10" t="s">
        <v>31</v>
      </c>
      <c r="L18" s="10"/>
      <c r="M18" s="10" t="s">
        <v>32</v>
      </c>
      <c r="N18" s="111">
        <v>270000</v>
      </c>
      <c r="O18" s="111">
        <v>270000</v>
      </c>
      <c r="P18" s="111"/>
      <c r="Q18" s="111"/>
      <c r="R18" s="111"/>
      <c r="S18" s="111"/>
    </row>
    <row r="19" spans="1:19" ht="105" x14ac:dyDescent="0.25">
      <c r="A19" s="108"/>
      <c r="B19" s="126"/>
      <c r="C19" s="108"/>
      <c r="D19" s="129"/>
      <c r="E19" s="10" t="s">
        <v>49</v>
      </c>
      <c r="F19" s="10" t="s">
        <v>460</v>
      </c>
      <c r="G19" s="10" t="s">
        <v>54</v>
      </c>
      <c r="H19" s="10"/>
      <c r="I19" s="10"/>
      <c r="J19" s="10"/>
      <c r="K19" s="10"/>
      <c r="L19" s="10"/>
      <c r="M19" s="10"/>
      <c r="N19" s="112"/>
      <c r="O19" s="112"/>
      <c r="P19" s="112"/>
      <c r="Q19" s="112"/>
      <c r="R19" s="112"/>
      <c r="S19" s="112"/>
    </row>
    <row r="20" spans="1:19" ht="45" x14ac:dyDescent="0.25">
      <c r="A20" s="107" t="s">
        <v>55</v>
      </c>
      <c r="B20" s="124" t="s">
        <v>56</v>
      </c>
      <c r="C20" s="107">
        <v>901</v>
      </c>
      <c r="D20" s="127" t="s">
        <v>60</v>
      </c>
      <c r="E20" s="124" t="s">
        <v>22</v>
      </c>
      <c r="F20" s="124" t="s">
        <v>463</v>
      </c>
      <c r="G20" s="124" t="s">
        <v>23</v>
      </c>
      <c r="H20" s="10"/>
      <c r="I20" s="10"/>
      <c r="J20" s="10"/>
      <c r="K20" s="10" t="s">
        <v>31</v>
      </c>
      <c r="L20" s="10" t="s">
        <v>57</v>
      </c>
      <c r="M20" s="10" t="s">
        <v>32</v>
      </c>
      <c r="N20" s="111">
        <f>4660137.6+2388834.35</f>
        <v>7048971.9499999993</v>
      </c>
      <c r="O20" s="111">
        <f>2388834.35+4660137.6</f>
        <v>7048971.9499999993</v>
      </c>
      <c r="P20" s="71">
        <f>2259727.51+1760000</f>
        <v>4019727.51</v>
      </c>
      <c r="Q20" s="71">
        <v>2601855</v>
      </c>
      <c r="R20" s="111">
        <v>2601855</v>
      </c>
      <c r="S20" s="111">
        <v>2601855</v>
      </c>
    </row>
    <row r="21" spans="1:19" ht="195" x14ac:dyDescent="0.25">
      <c r="A21" s="108"/>
      <c r="B21" s="126"/>
      <c r="C21" s="108"/>
      <c r="D21" s="129"/>
      <c r="E21" s="126"/>
      <c r="F21" s="126"/>
      <c r="G21" s="126"/>
      <c r="H21" s="10"/>
      <c r="I21" s="10"/>
      <c r="J21" s="10"/>
      <c r="K21" s="10" t="s">
        <v>58</v>
      </c>
      <c r="L21" s="10"/>
      <c r="M21" s="10" t="s">
        <v>59</v>
      </c>
      <c r="N21" s="112"/>
      <c r="O21" s="112"/>
      <c r="P21" s="73"/>
      <c r="Q21" s="73"/>
      <c r="R21" s="112"/>
      <c r="S21" s="112"/>
    </row>
    <row r="22" spans="1:19" ht="45" x14ac:dyDescent="0.25">
      <c r="A22" s="107" t="s">
        <v>62</v>
      </c>
      <c r="B22" s="124" t="s">
        <v>61</v>
      </c>
      <c r="C22" s="107">
        <v>901</v>
      </c>
      <c r="D22" s="127" t="s">
        <v>40</v>
      </c>
      <c r="E22" s="124" t="s">
        <v>22</v>
      </c>
      <c r="F22" s="107" t="s">
        <v>63</v>
      </c>
      <c r="G22" s="107" t="s">
        <v>23</v>
      </c>
      <c r="H22" s="10"/>
      <c r="I22" s="10"/>
      <c r="J22" s="10"/>
      <c r="K22" s="10" t="s">
        <v>31</v>
      </c>
      <c r="L22" s="10" t="s">
        <v>57</v>
      </c>
      <c r="M22" s="10" t="s">
        <v>32</v>
      </c>
      <c r="N22" s="111">
        <v>2473449.4700000002</v>
      </c>
      <c r="O22" s="111">
        <v>2472995.12</v>
      </c>
      <c r="P22" s="71">
        <v>2947119</v>
      </c>
      <c r="Q22" s="71">
        <v>2572080</v>
      </c>
      <c r="R22" s="111">
        <v>2572080</v>
      </c>
      <c r="S22" s="111">
        <v>2572080</v>
      </c>
    </row>
    <row r="23" spans="1:19" ht="165" x14ac:dyDescent="0.25">
      <c r="A23" s="108"/>
      <c r="B23" s="126"/>
      <c r="C23" s="108"/>
      <c r="D23" s="129"/>
      <c r="E23" s="126"/>
      <c r="F23" s="108"/>
      <c r="G23" s="108"/>
      <c r="H23" s="10"/>
      <c r="I23" s="10"/>
      <c r="J23" s="10"/>
      <c r="K23" s="10" t="s">
        <v>64</v>
      </c>
      <c r="L23" s="10"/>
      <c r="M23" s="10" t="s">
        <v>65</v>
      </c>
      <c r="N23" s="112"/>
      <c r="O23" s="112"/>
      <c r="P23" s="73"/>
      <c r="Q23" s="73"/>
      <c r="R23" s="112"/>
      <c r="S23" s="112"/>
    </row>
    <row r="24" spans="1:19" ht="90" x14ac:dyDescent="0.25">
      <c r="A24" s="139" t="s">
        <v>67</v>
      </c>
      <c r="B24" s="124" t="s">
        <v>66</v>
      </c>
      <c r="C24" s="107">
        <v>901</v>
      </c>
      <c r="D24" s="127" t="s">
        <v>40</v>
      </c>
      <c r="E24" s="10" t="s">
        <v>22</v>
      </c>
      <c r="F24" s="10" t="s">
        <v>71</v>
      </c>
      <c r="G24" s="10" t="s">
        <v>23</v>
      </c>
      <c r="H24" s="10"/>
      <c r="I24" s="10"/>
      <c r="J24" s="10"/>
      <c r="K24" s="10" t="s">
        <v>31</v>
      </c>
      <c r="L24" s="10"/>
      <c r="M24" s="10" t="s">
        <v>32</v>
      </c>
      <c r="N24" s="111">
        <v>900000</v>
      </c>
      <c r="O24" s="111">
        <v>900000</v>
      </c>
      <c r="P24" s="111">
        <v>100000</v>
      </c>
      <c r="Q24" s="111">
        <v>100000</v>
      </c>
      <c r="R24" s="111">
        <v>100000</v>
      </c>
      <c r="S24" s="111">
        <v>100000</v>
      </c>
    </row>
    <row r="25" spans="1:19" ht="105" x14ac:dyDescent="0.25">
      <c r="A25" s="140"/>
      <c r="B25" s="125"/>
      <c r="C25" s="123"/>
      <c r="D25" s="128"/>
      <c r="E25" s="10" t="s">
        <v>69</v>
      </c>
      <c r="F25" s="10" t="s">
        <v>452</v>
      </c>
      <c r="G25" s="10" t="s">
        <v>30</v>
      </c>
      <c r="H25" s="10"/>
      <c r="I25" s="10"/>
      <c r="J25" s="10"/>
      <c r="K25" s="10" t="s">
        <v>77</v>
      </c>
      <c r="L25" s="10"/>
      <c r="M25" s="10" t="s">
        <v>78</v>
      </c>
      <c r="N25" s="122"/>
      <c r="O25" s="122"/>
      <c r="P25" s="122"/>
      <c r="Q25" s="122"/>
      <c r="R25" s="122"/>
      <c r="S25" s="122"/>
    </row>
    <row r="26" spans="1:19" x14ac:dyDescent="0.25">
      <c r="A26" s="140"/>
      <c r="B26" s="125"/>
      <c r="C26" s="123"/>
      <c r="D26" s="128"/>
      <c r="E26" s="10"/>
      <c r="F26" s="10"/>
      <c r="G26" s="10"/>
      <c r="H26" s="10"/>
      <c r="I26" s="10"/>
      <c r="J26" s="10"/>
      <c r="K26" s="10"/>
      <c r="L26" s="10"/>
      <c r="M26" s="10"/>
      <c r="N26" s="122"/>
      <c r="O26" s="122"/>
      <c r="P26" s="122"/>
      <c r="Q26" s="122"/>
      <c r="R26" s="122"/>
      <c r="S26" s="122"/>
    </row>
    <row r="27" spans="1:19" ht="165" x14ac:dyDescent="0.25">
      <c r="A27" s="141"/>
      <c r="B27" s="126"/>
      <c r="C27" s="108"/>
      <c r="D27" s="129"/>
      <c r="E27" s="10"/>
      <c r="F27" s="10"/>
      <c r="G27" s="10"/>
      <c r="H27" s="10"/>
      <c r="I27" s="10"/>
      <c r="J27" s="10"/>
      <c r="K27" s="10" t="s">
        <v>75</v>
      </c>
      <c r="L27" s="10"/>
      <c r="M27" s="10" t="s">
        <v>76</v>
      </c>
      <c r="N27" s="112"/>
      <c r="O27" s="112"/>
      <c r="P27" s="112"/>
      <c r="Q27" s="112"/>
      <c r="R27" s="112"/>
      <c r="S27" s="112"/>
    </row>
    <row r="28" spans="1:19" ht="137.25" customHeight="1" x14ac:dyDescent="0.25">
      <c r="A28" s="97"/>
      <c r="B28" s="95" t="s">
        <v>527</v>
      </c>
      <c r="C28" s="93">
        <v>901</v>
      </c>
      <c r="D28" s="96" t="s">
        <v>40</v>
      </c>
      <c r="E28" s="10" t="s">
        <v>22</v>
      </c>
      <c r="F28" s="10" t="s">
        <v>457</v>
      </c>
      <c r="G28" s="10" t="s">
        <v>23</v>
      </c>
      <c r="H28" s="10"/>
      <c r="I28" s="10"/>
      <c r="J28" s="10"/>
      <c r="K28" s="10" t="s">
        <v>33</v>
      </c>
      <c r="L28" s="10"/>
      <c r="M28" s="10" t="s">
        <v>34</v>
      </c>
      <c r="N28" s="94">
        <v>0</v>
      </c>
      <c r="O28" s="94">
        <v>0</v>
      </c>
      <c r="P28" s="94">
        <v>100000</v>
      </c>
      <c r="Q28" s="94"/>
      <c r="R28" s="94"/>
      <c r="S28" s="94"/>
    </row>
    <row r="29" spans="1:19" s="24" customFormat="1" ht="156.75" x14ac:dyDescent="0.2">
      <c r="A29" s="18" t="s">
        <v>82</v>
      </c>
      <c r="B29" s="18" t="s">
        <v>81</v>
      </c>
      <c r="C29" s="18"/>
      <c r="D29" s="17"/>
      <c r="E29" s="18"/>
      <c r="F29" s="18"/>
      <c r="G29" s="18"/>
      <c r="H29" s="18"/>
      <c r="I29" s="18"/>
      <c r="J29" s="18"/>
      <c r="K29" s="18"/>
      <c r="L29" s="18"/>
      <c r="M29" s="18"/>
      <c r="N29" s="51">
        <f t="shared" ref="N29:S29" si="2">SUM(N30:N37)</f>
        <v>2309000</v>
      </c>
      <c r="O29" s="51">
        <f t="shared" si="2"/>
        <v>2239982.4</v>
      </c>
      <c r="P29" s="51">
        <f t="shared" si="2"/>
        <v>2728700</v>
      </c>
      <c r="Q29" s="51">
        <f t="shared" si="2"/>
        <v>2438000</v>
      </c>
      <c r="R29" s="51">
        <f t="shared" si="2"/>
        <v>2446800</v>
      </c>
      <c r="S29" s="51">
        <f t="shared" si="2"/>
        <v>2446800</v>
      </c>
    </row>
    <row r="30" spans="1:19" ht="135" x14ac:dyDescent="0.25">
      <c r="A30" s="10" t="s">
        <v>86</v>
      </c>
      <c r="B30" s="10" t="s">
        <v>85</v>
      </c>
      <c r="C30" s="12">
        <v>901</v>
      </c>
      <c r="D30" s="22" t="s">
        <v>40</v>
      </c>
      <c r="E30" s="10" t="s">
        <v>87</v>
      </c>
      <c r="F30" s="10" t="s">
        <v>88</v>
      </c>
      <c r="G30" s="10" t="s">
        <v>89</v>
      </c>
      <c r="H30" s="10" t="s">
        <v>90</v>
      </c>
      <c r="I30" s="10" t="s">
        <v>74</v>
      </c>
      <c r="J30" s="10" t="s">
        <v>91</v>
      </c>
      <c r="K30" s="10" t="s">
        <v>92</v>
      </c>
      <c r="L30" s="10"/>
      <c r="M30" s="10" t="s">
        <v>93</v>
      </c>
      <c r="N30" s="50">
        <v>224800</v>
      </c>
      <c r="O30" s="50">
        <v>224284.19</v>
      </c>
      <c r="P30" s="50">
        <v>238000</v>
      </c>
      <c r="Q30" s="50">
        <v>230600</v>
      </c>
      <c r="R30" s="50">
        <v>230600</v>
      </c>
      <c r="S30" s="50">
        <v>230600</v>
      </c>
    </row>
    <row r="31" spans="1:19" ht="255" x14ac:dyDescent="0.25">
      <c r="A31" s="10" t="s">
        <v>95</v>
      </c>
      <c r="B31" s="10" t="s">
        <v>94</v>
      </c>
      <c r="C31" s="12">
        <v>901</v>
      </c>
      <c r="D31" s="22" t="s">
        <v>96</v>
      </c>
      <c r="E31" s="10" t="s">
        <v>97</v>
      </c>
      <c r="F31" s="10" t="s">
        <v>98</v>
      </c>
      <c r="G31" s="10" t="s">
        <v>99</v>
      </c>
      <c r="H31" s="10" t="s">
        <v>100</v>
      </c>
      <c r="I31" s="10" t="s">
        <v>74</v>
      </c>
      <c r="J31" s="10" t="s">
        <v>101</v>
      </c>
      <c r="K31" s="10" t="s">
        <v>132</v>
      </c>
      <c r="L31" s="10"/>
      <c r="M31" s="10" t="s">
        <v>102</v>
      </c>
      <c r="N31" s="50">
        <v>149100</v>
      </c>
      <c r="O31" s="50">
        <v>149099.6</v>
      </c>
      <c r="P31" s="50">
        <v>129100</v>
      </c>
      <c r="Q31" s="50">
        <v>124400</v>
      </c>
      <c r="R31" s="50">
        <v>124400</v>
      </c>
      <c r="S31" s="50">
        <v>124400</v>
      </c>
    </row>
    <row r="32" spans="1:19" ht="225" x14ac:dyDescent="0.25">
      <c r="A32" s="124" t="s">
        <v>104</v>
      </c>
      <c r="B32" s="124" t="s">
        <v>103</v>
      </c>
      <c r="C32" s="107">
        <v>901</v>
      </c>
      <c r="D32" s="127" t="s">
        <v>96</v>
      </c>
      <c r="E32" s="142" t="s">
        <v>97</v>
      </c>
      <c r="F32" s="107" t="s">
        <v>106</v>
      </c>
      <c r="G32" s="107" t="s">
        <v>99</v>
      </c>
      <c r="H32" s="10" t="s">
        <v>107</v>
      </c>
      <c r="I32" s="10" t="s">
        <v>74</v>
      </c>
      <c r="J32" s="10" t="s">
        <v>108</v>
      </c>
      <c r="K32" s="10" t="s">
        <v>111</v>
      </c>
      <c r="L32" s="10"/>
      <c r="M32" s="10" t="s">
        <v>112</v>
      </c>
      <c r="N32" s="109">
        <v>1533300</v>
      </c>
      <c r="O32" s="109">
        <v>1481963.03</v>
      </c>
      <c r="P32" s="68">
        <v>1594500</v>
      </c>
      <c r="Q32" s="68">
        <v>1535700</v>
      </c>
      <c r="R32" s="109">
        <v>1535700</v>
      </c>
      <c r="S32" s="109">
        <v>1535700</v>
      </c>
    </row>
    <row r="33" spans="1:19" ht="105" x14ac:dyDescent="0.25">
      <c r="A33" s="126"/>
      <c r="B33" s="126"/>
      <c r="C33" s="108"/>
      <c r="D33" s="129"/>
      <c r="E33" s="143"/>
      <c r="F33" s="108"/>
      <c r="G33" s="108"/>
      <c r="H33" s="10" t="s">
        <v>109</v>
      </c>
      <c r="I33" s="10" t="s">
        <v>74</v>
      </c>
      <c r="J33" s="10" t="s">
        <v>110</v>
      </c>
      <c r="K33" s="10"/>
      <c r="L33" s="10"/>
      <c r="M33" s="10"/>
      <c r="N33" s="110"/>
      <c r="O33" s="110"/>
      <c r="P33" s="69"/>
      <c r="Q33" s="69"/>
      <c r="R33" s="110"/>
      <c r="S33" s="110"/>
    </row>
    <row r="34" spans="1:19" ht="210" x14ac:dyDescent="0.25">
      <c r="A34" s="124" t="s">
        <v>114</v>
      </c>
      <c r="B34" s="124" t="s">
        <v>113</v>
      </c>
      <c r="C34" s="107">
        <v>901</v>
      </c>
      <c r="D34" s="127" t="s">
        <v>96</v>
      </c>
      <c r="E34" s="10" t="s">
        <v>97</v>
      </c>
      <c r="F34" s="10" t="s">
        <v>105</v>
      </c>
      <c r="G34" s="10" t="s">
        <v>99</v>
      </c>
      <c r="H34" s="10" t="s">
        <v>115</v>
      </c>
      <c r="I34" s="10" t="s">
        <v>74</v>
      </c>
      <c r="J34" s="10" t="s">
        <v>116</v>
      </c>
      <c r="K34" s="10" t="s">
        <v>119</v>
      </c>
      <c r="L34" s="10"/>
      <c r="M34" s="10" t="s">
        <v>120</v>
      </c>
      <c r="N34" s="109">
        <v>401800</v>
      </c>
      <c r="O34" s="109">
        <v>384635.58</v>
      </c>
      <c r="P34" s="68">
        <v>552700</v>
      </c>
      <c r="Q34" s="68">
        <v>533000</v>
      </c>
      <c r="R34" s="109">
        <v>533000</v>
      </c>
      <c r="S34" s="109">
        <v>533000</v>
      </c>
    </row>
    <row r="35" spans="1:19" ht="90" x14ac:dyDescent="0.25">
      <c r="A35" s="126"/>
      <c r="B35" s="126"/>
      <c r="C35" s="108"/>
      <c r="D35" s="129"/>
      <c r="E35" s="10"/>
      <c r="F35" s="10"/>
      <c r="G35" s="10"/>
      <c r="H35" s="10" t="s">
        <v>117</v>
      </c>
      <c r="I35" s="10" t="s">
        <v>74</v>
      </c>
      <c r="J35" s="10" t="s">
        <v>118</v>
      </c>
      <c r="K35" s="10"/>
      <c r="L35" s="10"/>
      <c r="M35" s="10"/>
      <c r="N35" s="110"/>
      <c r="O35" s="110"/>
      <c r="P35" s="69"/>
      <c r="Q35" s="69"/>
      <c r="R35" s="110"/>
      <c r="S35" s="110"/>
    </row>
    <row r="36" spans="1:19" ht="180" x14ac:dyDescent="0.25">
      <c r="A36" s="124" t="s">
        <v>121</v>
      </c>
      <c r="B36" s="124" t="s">
        <v>123</v>
      </c>
      <c r="C36" s="107">
        <v>901</v>
      </c>
      <c r="D36" s="127" t="s">
        <v>124</v>
      </c>
      <c r="E36" s="10" t="s">
        <v>122</v>
      </c>
      <c r="F36" s="10" t="s">
        <v>70</v>
      </c>
      <c r="G36" s="10" t="s">
        <v>125</v>
      </c>
      <c r="H36" s="10" t="s">
        <v>127</v>
      </c>
      <c r="I36" s="10" t="s">
        <v>74</v>
      </c>
      <c r="J36" s="10" t="s">
        <v>128</v>
      </c>
      <c r="K36" s="100" t="s">
        <v>531</v>
      </c>
      <c r="L36" s="65"/>
      <c r="M36" s="101">
        <v>43117</v>
      </c>
      <c r="N36" s="109">
        <v>0</v>
      </c>
      <c r="O36" s="109">
        <v>0</v>
      </c>
      <c r="P36" s="68">
        <v>214400</v>
      </c>
      <c r="Q36" s="68">
        <v>14300</v>
      </c>
      <c r="R36" s="109">
        <v>23100</v>
      </c>
      <c r="S36" s="109">
        <v>23100</v>
      </c>
    </row>
    <row r="37" spans="1:19" ht="150" x14ac:dyDescent="0.25">
      <c r="A37" s="126"/>
      <c r="B37" s="126"/>
      <c r="C37" s="108"/>
      <c r="D37" s="129"/>
      <c r="E37" s="10" t="s">
        <v>97</v>
      </c>
      <c r="F37" s="10" t="s">
        <v>126</v>
      </c>
      <c r="G37" s="10" t="s">
        <v>99</v>
      </c>
      <c r="H37" s="10"/>
      <c r="I37" s="10"/>
      <c r="J37" s="10"/>
      <c r="K37" s="10"/>
      <c r="L37" s="10"/>
      <c r="M37" s="10"/>
      <c r="N37" s="110"/>
      <c r="O37" s="110"/>
      <c r="P37" s="69"/>
      <c r="Q37" s="69"/>
      <c r="R37" s="110"/>
      <c r="S37" s="110"/>
    </row>
    <row r="38" spans="1:19" ht="28.5" x14ac:dyDescent="0.25">
      <c r="A38" s="38"/>
      <c r="B38" s="38" t="s">
        <v>133</v>
      </c>
      <c r="C38" s="39">
        <v>902</v>
      </c>
      <c r="D38" s="40"/>
      <c r="E38" s="38"/>
      <c r="F38" s="38"/>
      <c r="G38" s="38"/>
      <c r="H38" s="38"/>
      <c r="I38" s="38"/>
      <c r="J38" s="38"/>
      <c r="K38" s="38"/>
      <c r="L38" s="38"/>
      <c r="M38" s="38"/>
      <c r="N38" s="52">
        <f t="shared" ref="N38:S38" si="3">N39+N47</f>
        <v>108177946.3</v>
      </c>
      <c r="O38" s="52">
        <f t="shared" si="3"/>
        <v>107751058.98</v>
      </c>
      <c r="P38" s="52">
        <f t="shared" si="3"/>
        <v>117234493.15000001</v>
      </c>
      <c r="Q38" s="52">
        <f t="shared" si="3"/>
        <v>51546722</v>
      </c>
      <c r="R38" s="52">
        <f t="shared" si="3"/>
        <v>48596977</v>
      </c>
      <c r="S38" s="52">
        <f t="shared" si="3"/>
        <v>47232777</v>
      </c>
    </row>
    <row r="39" spans="1:19" s="24" customFormat="1" ht="99.75" x14ac:dyDescent="0.2">
      <c r="A39" s="23" t="s">
        <v>84</v>
      </c>
      <c r="B39" s="18" t="s">
        <v>83</v>
      </c>
      <c r="C39" s="17"/>
      <c r="D39" s="27"/>
      <c r="E39" s="18"/>
      <c r="F39" s="18"/>
      <c r="G39" s="18"/>
      <c r="H39" s="18"/>
      <c r="I39" s="18"/>
      <c r="J39" s="18"/>
      <c r="K39" s="18"/>
      <c r="L39" s="18"/>
      <c r="M39" s="18"/>
      <c r="N39" s="51">
        <f t="shared" ref="N39:S39" si="4">N40+N44+N45</f>
        <v>15323046.300000001</v>
      </c>
      <c r="O39" s="51">
        <f t="shared" si="4"/>
        <v>15195738.98</v>
      </c>
      <c r="P39" s="51">
        <f t="shared" si="4"/>
        <v>19013793.149999999</v>
      </c>
      <c r="Q39" s="51">
        <f t="shared" si="4"/>
        <v>17442322</v>
      </c>
      <c r="R39" s="51">
        <f t="shared" si="4"/>
        <v>17220877</v>
      </c>
      <c r="S39" s="51">
        <f t="shared" si="4"/>
        <v>17220877</v>
      </c>
    </row>
    <row r="40" spans="1:19" ht="270" x14ac:dyDescent="0.25">
      <c r="A40" s="107" t="s">
        <v>135</v>
      </c>
      <c r="B40" s="124" t="s">
        <v>134</v>
      </c>
      <c r="C40" s="107">
        <v>902</v>
      </c>
      <c r="D40" s="127" t="s">
        <v>40</v>
      </c>
      <c r="E40" s="10" t="s">
        <v>22</v>
      </c>
      <c r="F40" s="10" t="s">
        <v>139</v>
      </c>
      <c r="G40" s="10" t="s">
        <v>136</v>
      </c>
      <c r="H40" s="10" t="s">
        <v>146</v>
      </c>
      <c r="I40" s="10" t="s">
        <v>74</v>
      </c>
      <c r="J40" s="10" t="s">
        <v>28</v>
      </c>
      <c r="K40" s="10" t="s">
        <v>151</v>
      </c>
      <c r="L40" s="10"/>
      <c r="M40" s="10" t="s">
        <v>152</v>
      </c>
      <c r="N40" s="111">
        <v>10396549.15</v>
      </c>
      <c r="O40" s="111">
        <v>10276226.91</v>
      </c>
      <c r="P40" s="71">
        <v>11956953.289999999</v>
      </c>
      <c r="Q40" s="71">
        <v>10572219</v>
      </c>
      <c r="R40" s="111">
        <v>10350774</v>
      </c>
      <c r="S40" s="111">
        <v>10350774</v>
      </c>
    </row>
    <row r="41" spans="1:19" ht="105" x14ac:dyDescent="0.25">
      <c r="A41" s="123"/>
      <c r="B41" s="125"/>
      <c r="C41" s="123"/>
      <c r="D41" s="128"/>
      <c r="E41" s="10" t="s">
        <v>137</v>
      </c>
      <c r="F41" s="10" t="s">
        <v>138</v>
      </c>
      <c r="G41" s="10" t="s">
        <v>140</v>
      </c>
      <c r="H41" s="10" t="s">
        <v>147</v>
      </c>
      <c r="I41" s="10" t="s">
        <v>74</v>
      </c>
      <c r="J41" s="10" t="s">
        <v>148</v>
      </c>
      <c r="K41" s="10" t="s">
        <v>153</v>
      </c>
      <c r="L41" s="10"/>
      <c r="M41" s="10" t="s">
        <v>154</v>
      </c>
      <c r="N41" s="122"/>
      <c r="O41" s="122"/>
      <c r="P41" s="72"/>
      <c r="Q41" s="72"/>
      <c r="R41" s="122"/>
      <c r="S41" s="122"/>
    </row>
    <row r="42" spans="1:19" ht="195" x14ac:dyDescent="0.25">
      <c r="A42" s="123"/>
      <c r="B42" s="125"/>
      <c r="C42" s="123"/>
      <c r="D42" s="128"/>
      <c r="E42" s="10" t="s">
        <v>141</v>
      </c>
      <c r="F42" s="10" t="s">
        <v>142</v>
      </c>
      <c r="G42" s="10" t="s">
        <v>143</v>
      </c>
      <c r="H42" s="10" t="s">
        <v>149</v>
      </c>
      <c r="I42" s="10" t="s">
        <v>74</v>
      </c>
      <c r="J42" s="10" t="s">
        <v>150</v>
      </c>
      <c r="K42" s="10" t="s">
        <v>155</v>
      </c>
      <c r="L42" s="10"/>
      <c r="M42" s="10" t="s">
        <v>156</v>
      </c>
      <c r="N42" s="122"/>
      <c r="O42" s="122"/>
      <c r="P42" s="72"/>
      <c r="Q42" s="72"/>
      <c r="R42" s="122"/>
      <c r="S42" s="122"/>
    </row>
    <row r="43" spans="1:19" ht="285" x14ac:dyDescent="0.25">
      <c r="A43" s="108"/>
      <c r="B43" s="126"/>
      <c r="C43" s="108"/>
      <c r="D43" s="129"/>
      <c r="E43" s="10" t="s">
        <v>144</v>
      </c>
      <c r="F43" s="10" t="s">
        <v>74</v>
      </c>
      <c r="G43" s="10" t="s">
        <v>145</v>
      </c>
      <c r="H43" s="10" t="s">
        <v>29</v>
      </c>
      <c r="I43" s="11" t="s">
        <v>74</v>
      </c>
      <c r="J43" s="10" t="s">
        <v>30</v>
      </c>
      <c r="K43" s="10" t="s">
        <v>31</v>
      </c>
      <c r="L43" s="10" t="s">
        <v>157</v>
      </c>
      <c r="M43" s="10" t="s">
        <v>32</v>
      </c>
      <c r="N43" s="112"/>
      <c r="O43" s="112"/>
      <c r="P43" s="73"/>
      <c r="Q43" s="73"/>
      <c r="R43" s="112"/>
      <c r="S43" s="112"/>
    </row>
    <row r="44" spans="1:19" ht="101.25" customHeight="1" x14ac:dyDescent="0.25">
      <c r="A44" s="10" t="s">
        <v>55</v>
      </c>
      <c r="B44" s="10" t="s">
        <v>56</v>
      </c>
      <c r="C44" s="12">
        <v>902</v>
      </c>
      <c r="D44" s="22" t="s">
        <v>158</v>
      </c>
      <c r="E44" s="10" t="s">
        <v>22</v>
      </c>
      <c r="F44" s="10" t="s">
        <v>159</v>
      </c>
      <c r="G44" s="10" t="s">
        <v>136</v>
      </c>
      <c r="H44" s="10"/>
      <c r="I44" s="10"/>
      <c r="J44" s="10"/>
      <c r="K44" s="10" t="s">
        <v>31</v>
      </c>
      <c r="L44" s="10" t="s">
        <v>160</v>
      </c>
      <c r="M44" s="10" t="s">
        <v>32</v>
      </c>
      <c r="N44" s="50">
        <v>4649960.1500000004</v>
      </c>
      <c r="O44" s="50">
        <v>4642975.07</v>
      </c>
      <c r="P44" s="50">
        <v>6686839.8600000003</v>
      </c>
      <c r="Q44" s="50">
        <v>6750103</v>
      </c>
      <c r="R44" s="50">
        <v>6750103</v>
      </c>
      <c r="S44" s="50">
        <v>6750103</v>
      </c>
    </row>
    <row r="45" spans="1:19" ht="90" x14ac:dyDescent="0.25">
      <c r="A45" s="107" t="s">
        <v>162</v>
      </c>
      <c r="B45" s="124" t="s">
        <v>161</v>
      </c>
      <c r="C45" s="107">
        <v>902</v>
      </c>
      <c r="D45" s="127" t="s">
        <v>163</v>
      </c>
      <c r="E45" s="10" t="s">
        <v>22</v>
      </c>
      <c r="F45" s="10" t="s">
        <v>164</v>
      </c>
      <c r="G45" s="10" t="s">
        <v>136</v>
      </c>
      <c r="H45" s="10" t="s">
        <v>165</v>
      </c>
      <c r="I45" s="10" t="s">
        <v>166</v>
      </c>
      <c r="J45" s="10" t="s">
        <v>167</v>
      </c>
      <c r="K45" s="10" t="s">
        <v>31</v>
      </c>
      <c r="L45" s="10"/>
      <c r="M45" s="10" t="s">
        <v>45</v>
      </c>
      <c r="N45" s="109">
        <v>276537</v>
      </c>
      <c r="O45" s="109">
        <v>276537</v>
      </c>
      <c r="P45" s="109">
        <v>370000</v>
      </c>
      <c r="Q45" s="109">
        <v>120000</v>
      </c>
      <c r="R45" s="109">
        <v>120000</v>
      </c>
      <c r="S45" s="109">
        <v>120000</v>
      </c>
    </row>
    <row r="46" spans="1:19" ht="75" x14ac:dyDescent="0.25">
      <c r="A46" s="108"/>
      <c r="B46" s="126"/>
      <c r="C46" s="108"/>
      <c r="D46" s="129"/>
      <c r="E46" s="10"/>
      <c r="F46" s="10"/>
      <c r="G46" s="10"/>
      <c r="H46" s="10"/>
      <c r="I46" s="10"/>
      <c r="J46" s="10"/>
      <c r="K46" s="10" t="s">
        <v>168</v>
      </c>
      <c r="L46" s="10"/>
      <c r="M46" s="10" t="s">
        <v>169</v>
      </c>
      <c r="N46" s="110"/>
      <c r="O46" s="110"/>
      <c r="P46" s="110"/>
      <c r="Q46" s="110"/>
      <c r="R46" s="110"/>
      <c r="S46" s="110"/>
    </row>
    <row r="47" spans="1:19" s="24" customFormat="1" ht="156.75" x14ac:dyDescent="0.2">
      <c r="A47" s="18" t="s">
        <v>82</v>
      </c>
      <c r="B47" s="18" t="s">
        <v>81</v>
      </c>
      <c r="C47" s="17"/>
      <c r="D47" s="27"/>
      <c r="E47" s="18"/>
      <c r="F47" s="18"/>
      <c r="G47" s="18"/>
      <c r="H47" s="18"/>
      <c r="I47" s="18"/>
      <c r="J47" s="18"/>
      <c r="K47" s="18"/>
      <c r="L47" s="18"/>
      <c r="M47" s="18"/>
      <c r="N47" s="51">
        <f t="shared" ref="N47:S47" si="5">N48</f>
        <v>92854900</v>
      </c>
      <c r="O47" s="51">
        <f t="shared" si="5"/>
        <v>92555320</v>
      </c>
      <c r="P47" s="51">
        <f t="shared" si="5"/>
        <v>98220700</v>
      </c>
      <c r="Q47" s="51">
        <f t="shared" si="5"/>
        <v>34104400</v>
      </c>
      <c r="R47" s="51">
        <f t="shared" si="5"/>
        <v>31376100</v>
      </c>
      <c r="S47" s="51">
        <f t="shared" si="5"/>
        <v>30011900</v>
      </c>
    </row>
    <row r="48" spans="1:19" ht="270" x14ac:dyDescent="0.25">
      <c r="A48" s="124" t="s">
        <v>170</v>
      </c>
      <c r="B48" s="124" t="s">
        <v>171</v>
      </c>
      <c r="C48" s="107">
        <v>902</v>
      </c>
      <c r="D48" s="127" t="s">
        <v>172</v>
      </c>
      <c r="E48" s="124" t="s">
        <v>97</v>
      </c>
      <c r="F48" s="124" t="s">
        <v>173</v>
      </c>
      <c r="G48" s="124" t="s">
        <v>99</v>
      </c>
      <c r="H48" s="10" t="s">
        <v>174</v>
      </c>
      <c r="I48" s="10" t="s">
        <v>74</v>
      </c>
      <c r="J48" s="10" t="s">
        <v>175</v>
      </c>
      <c r="K48" s="65" t="s">
        <v>179</v>
      </c>
      <c r="L48" s="65"/>
      <c r="M48" s="65" t="s">
        <v>520</v>
      </c>
      <c r="N48" s="109">
        <v>92854900</v>
      </c>
      <c r="O48" s="109">
        <v>92555320</v>
      </c>
      <c r="P48" s="68">
        <v>98220700</v>
      </c>
      <c r="Q48" s="68">
        <v>34104400</v>
      </c>
      <c r="R48" s="109">
        <f>30011900+1364200</f>
        <v>31376100</v>
      </c>
      <c r="S48" s="109">
        <v>30011900</v>
      </c>
    </row>
    <row r="49" spans="1:19" ht="150" x14ac:dyDescent="0.25">
      <c r="A49" s="126"/>
      <c r="B49" s="126"/>
      <c r="C49" s="108"/>
      <c r="D49" s="129"/>
      <c r="E49" s="126"/>
      <c r="F49" s="126"/>
      <c r="G49" s="126"/>
      <c r="H49" s="10" t="s">
        <v>176</v>
      </c>
      <c r="I49" s="10" t="s">
        <v>177</v>
      </c>
      <c r="J49" s="10" t="s">
        <v>178</v>
      </c>
      <c r="K49" s="10" t="s">
        <v>518</v>
      </c>
      <c r="L49" s="10"/>
      <c r="M49" s="10" t="s">
        <v>519</v>
      </c>
      <c r="N49" s="110"/>
      <c r="O49" s="110"/>
      <c r="P49" s="69"/>
      <c r="Q49" s="69"/>
      <c r="R49" s="110"/>
      <c r="S49" s="110"/>
    </row>
    <row r="50" spans="1:19" s="24" customFormat="1" ht="28.5" x14ac:dyDescent="0.2">
      <c r="A50" s="38"/>
      <c r="B50" s="38" t="s">
        <v>180</v>
      </c>
      <c r="C50" s="39">
        <v>903</v>
      </c>
      <c r="D50" s="40"/>
      <c r="E50" s="38"/>
      <c r="F50" s="38"/>
      <c r="G50" s="38"/>
      <c r="H50" s="38"/>
      <c r="I50" s="38"/>
      <c r="J50" s="38"/>
      <c r="K50" s="38"/>
      <c r="L50" s="38"/>
      <c r="M50" s="38"/>
      <c r="N50" s="52">
        <f t="shared" ref="N50:S50" si="6">N51</f>
        <v>17520394.949999999</v>
      </c>
      <c r="O50" s="52">
        <f t="shared" si="6"/>
        <v>17515516.300000001</v>
      </c>
      <c r="P50" s="52">
        <f t="shared" si="6"/>
        <v>15066389</v>
      </c>
      <c r="Q50" s="52">
        <f t="shared" si="6"/>
        <v>12064603</v>
      </c>
      <c r="R50" s="52">
        <f t="shared" si="6"/>
        <v>11911432</v>
      </c>
      <c r="S50" s="52">
        <f t="shared" si="6"/>
        <v>11911432</v>
      </c>
    </row>
    <row r="51" spans="1:19" s="24" customFormat="1" ht="99.75" x14ac:dyDescent="0.2">
      <c r="A51" s="23" t="s">
        <v>84</v>
      </c>
      <c r="B51" s="18" t="s">
        <v>83</v>
      </c>
      <c r="C51" s="17"/>
      <c r="D51" s="27"/>
      <c r="E51" s="18"/>
      <c r="F51" s="18"/>
      <c r="G51" s="18"/>
      <c r="H51" s="18"/>
      <c r="I51" s="18"/>
      <c r="J51" s="18"/>
      <c r="K51" s="18"/>
      <c r="L51" s="18"/>
      <c r="M51" s="18"/>
      <c r="N51" s="51">
        <f t="shared" ref="N51:S51" si="7">N52+N56</f>
        <v>17520394.949999999</v>
      </c>
      <c r="O51" s="51">
        <f t="shared" si="7"/>
        <v>17515516.300000001</v>
      </c>
      <c r="P51" s="51">
        <f t="shared" si="7"/>
        <v>15066389</v>
      </c>
      <c r="Q51" s="51">
        <f t="shared" si="7"/>
        <v>12064603</v>
      </c>
      <c r="R51" s="51">
        <f t="shared" si="7"/>
        <v>11911432</v>
      </c>
      <c r="S51" s="51">
        <f t="shared" si="7"/>
        <v>11911432</v>
      </c>
    </row>
    <row r="52" spans="1:19" ht="99" customHeight="1" x14ac:dyDescent="0.25">
      <c r="A52" s="124" t="s">
        <v>182</v>
      </c>
      <c r="B52" s="124" t="s">
        <v>181</v>
      </c>
      <c r="C52" s="107">
        <v>903</v>
      </c>
      <c r="D52" s="130" t="s">
        <v>183</v>
      </c>
      <c r="E52" s="44" t="s">
        <v>22</v>
      </c>
      <c r="F52" s="44" t="s">
        <v>184</v>
      </c>
      <c r="G52" s="44" t="s">
        <v>136</v>
      </c>
      <c r="H52" s="44" t="s">
        <v>26</v>
      </c>
      <c r="I52" s="47" t="s">
        <v>74</v>
      </c>
      <c r="J52" s="46" t="s">
        <v>28</v>
      </c>
      <c r="K52" s="10" t="s">
        <v>31</v>
      </c>
      <c r="L52" s="10" t="s">
        <v>464</v>
      </c>
      <c r="M52" s="10" t="s">
        <v>32</v>
      </c>
      <c r="N52" s="111">
        <f>11880482+5338956</f>
        <v>17219438</v>
      </c>
      <c r="O52" s="111">
        <f>11875604.05+5338955.3</f>
        <v>17214559.350000001</v>
      </c>
      <c r="P52" s="71">
        <f>12620361+996028</f>
        <v>13616389</v>
      </c>
      <c r="Q52" s="71">
        <f>11764008</f>
        <v>11764008</v>
      </c>
      <c r="R52" s="111">
        <v>11734008</v>
      </c>
      <c r="S52" s="111">
        <v>11734008</v>
      </c>
    </row>
    <row r="53" spans="1:19" ht="90" customHeight="1" x14ac:dyDescent="0.25">
      <c r="A53" s="125"/>
      <c r="B53" s="125"/>
      <c r="C53" s="123"/>
      <c r="D53" s="131"/>
      <c r="E53" s="9" t="s">
        <v>24</v>
      </c>
      <c r="F53" s="7" t="s">
        <v>74</v>
      </c>
      <c r="G53" s="9" t="s">
        <v>25</v>
      </c>
      <c r="H53" s="133" t="s">
        <v>29</v>
      </c>
      <c r="I53" s="136" t="s">
        <v>74</v>
      </c>
      <c r="J53" s="124" t="s">
        <v>30</v>
      </c>
      <c r="K53" s="10" t="s">
        <v>185</v>
      </c>
      <c r="L53" s="10"/>
      <c r="M53" s="10" t="s">
        <v>186</v>
      </c>
      <c r="N53" s="122"/>
      <c r="O53" s="122"/>
      <c r="P53" s="72"/>
      <c r="Q53" s="72"/>
      <c r="R53" s="122"/>
      <c r="S53" s="122"/>
    </row>
    <row r="54" spans="1:19" ht="113.25" customHeight="1" x14ac:dyDescent="0.25">
      <c r="A54" s="125"/>
      <c r="B54" s="125"/>
      <c r="C54" s="123"/>
      <c r="D54" s="131"/>
      <c r="E54" s="9"/>
      <c r="F54" s="7"/>
      <c r="G54" s="9"/>
      <c r="H54" s="134"/>
      <c r="I54" s="137"/>
      <c r="J54" s="125"/>
      <c r="K54" s="10" t="s">
        <v>189</v>
      </c>
      <c r="L54" s="10"/>
      <c r="M54" s="10" t="s">
        <v>190</v>
      </c>
      <c r="N54" s="122"/>
      <c r="O54" s="122"/>
      <c r="P54" s="72"/>
      <c r="Q54" s="72"/>
      <c r="R54" s="122"/>
      <c r="S54" s="122"/>
    </row>
    <row r="55" spans="1:19" x14ac:dyDescent="0.25">
      <c r="A55" s="126"/>
      <c r="B55" s="126"/>
      <c r="C55" s="108"/>
      <c r="D55" s="132"/>
      <c r="E55" s="45"/>
      <c r="F55" s="45"/>
      <c r="G55" s="45"/>
      <c r="H55" s="135"/>
      <c r="I55" s="138"/>
      <c r="J55" s="126"/>
      <c r="K55" s="65"/>
      <c r="L55" s="65"/>
      <c r="M55" s="65"/>
      <c r="N55" s="112"/>
      <c r="O55" s="112"/>
      <c r="P55" s="73"/>
      <c r="Q55" s="73"/>
      <c r="R55" s="112"/>
      <c r="S55" s="112"/>
    </row>
    <row r="56" spans="1:19" ht="225" x14ac:dyDescent="0.25">
      <c r="A56" s="10" t="s">
        <v>55</v>
      </c>
      <c r="B56" s="10" t="s">
        <v>56</v>
      </c>
      <c r="C56" s="12">
        <v>903</v>
      </c>
      <c r="D56" s="22" t="s">
        <v>158</v>
      </c>
      <c r="E56" s="10" t="s">
        <v>22</v>
      </c>
      <c r="F56" s="10" t="s">
        <v>159</v>
      </c>
      <c r="G56" s="10" t="s">
        <v>136</v>
      </c>
      <c r="H56" s="10"/>
      <c r="I56" s="10"/>
      <c r="J56" s="10"/>
      <c r="K56" s="10" t="s">
        <v>31</v>
      </c>
      <c r="L56" s="10" t="s">
        <v>160</v>
      </c>
      <c r="M56" s="10" t="s">
        <v>32</v>
      </c>
      <c r="N56" s="50">
        <v>300956.95</v>
      </c>
      <c r="O56" s="50">
        <v>300956.95</v>
      </c>
      <c r="P56" s="50">
        <v>1450000</v>
      </c>
      <c r="Q56" s="50">
        <v>300595</v>
      </c>
      <c r="R56" s="50">
        <v>177424</v>
      </c>
      <c r="S56" s="50">
        <v>177424</v>
      </c>
    </row>
    <row r="57" spans="1:19" s="24" customFormat="1" ht="85.5" x14ac:dyDescent="0.2">
      <c r="A57" s="38"/>
      <c r="B57" s="38" t="s">
        <v>191</v>
      </c>
      <c r="C57" s="39">
        <v>904</v>
      </c>
      <c r="D57" s="40"/>
      <c r="E57" s="38"/>
      <c r="F57" s="38"/>
      <c r="G57" s="38"/>
      <c r="H57" s="38"/>
      <c r="I57" s="38"/>
      <c r="J57" s="38"/>
      <c r="K57" s="38"/>
      <c r="L57" s="38"/>
      <c r="M57" s="38"/>
      <c r="N57" s="52">
        <f t="shared" ref="N57:S57" si="8">N58</f>
        <v>32045767</v>
      </c>
      <c r="O57" s="52">
        <f t="shared" si="8"/>
        <v>31969935.059999999</v>
      </c>
      <c r="P57" s="52">
        <f t="shared" si="8"/>
        <v>35947661</v>
      </c>
      <c r="Q57" s="52">
        <f t="shared" si="8"/>
        <v>24334888</v>
      </c>
      <c r="R57" s="52">
        <f t="shared" si="8"/>
        <v>24025063</v>
      </c>
      <c r="S57" s="52">
        <f t="shared" si="8"/>
        <v>24016063</v>
      </c>
    </row>
    <row r="58" spans="1:19" s="24" customFormat="1" ht="99.75" x14ac:dyDescent="0.2">
      <c r="A58" s="23" t="s">
        <v>84</v>
      </c>
      <c r="B58" s="18" t="s">
        <v>83</v>
      </c>
      <c r="C58" s="17">
        <v>904</v>
      </c>
      <c r="D58" s="27"/>
      <c r="E58" s="18"/>
      <c r="F58" s="18"/>
      <c r="G58" s="18"/>
      <c r="H58" s="18"/>
      <c r="I58" s="18"/>
      <c r="J58" s="18"/>
      <c r="K58" s="18"/>
      <c r="L58" s="18"/>
      <c r="M58" s="18"/>
      <c r="N58" s="51">
        <f t="shared" ref="N58:S58" si="9">N59+N63</f>
        <v>32045767</v>
      </c>
      <c r="O58" s="51">
        <f t="shared" si="9"/>
        <v>31969935.059999999</v>
      </c>
      <c r="P58" s="51">
        <f t="shared" si="9"/>
        <v>35947661</v>
      </c>
      <c r="Q58" s="51">
        <f t="shared" si="9"/>
        <v>24334888</v>
      </c>
      <c r="R58" s="51">
        <f t="shared" si="9"/>
        <v>24025063</v>
      </c>
      <c r="S58" s="51">
        <f t="shared" si="9"/>
        <v>24016063</v>
      </c>
    </row>
    <row r="59" spans="1:19" ht="135" x14ac:dyDescent="0.25">
      <c r="A59" s="124" t="s">
        <v>192</v>
      </c>
      <c r="B59" s="124" t="s">
        <v>193</v>
      </c>
      <c r="C59" s="107">
        <v>904</v>
      </c>
      <c r="D59" s="127" t="s">
        <v>195</v>
      </c>
      <c r="E59" s="10" t="s">
        <v>194</v>
      </c>
      <c r="F59" s="10" t="s">
        <v>196</v>
      </c>
      <c r="G59" s="10" t="s">
        <v>197</v>
      </c>
      <c r="H59" s="10" t="s">
        <v>198</v>
      </c>
      <c r="I59" s="10" t="s">
        <v>70</v>
      </c>
      <c r="J59" s="10" t="s">
        <v>199</v>
      </c>
      <c r="K59" s="10" t="s">
        <v>203</v>
      </c>
      <c r="L59" s="10"/>
      <c r="M59" s="10" t="s">
        <v>204</v>
      </c>
      <c r="N59" s="109">
        <f>32045767-200000</f>
        <v>31845767</v>
      </c>
      <c r="O59" s="111">
        <f>31969935.06-199976</f>
        <v>31769959.059999999</v>
      </c>
      <c r="P59" s="71">
        <v>25647661</v>
      </c>
      <c r="Q59" s="71">
        <f>24124888+10000</f>
        <v>24134888</v>
      </c>
      <c r="R59" s="111">
        <f>23816063+9000</f>
        <v>23825063</v>
      </c>
      <c r="S59" s="111">
        <v>23816063</v>
      </c>
    </row>
    <row r="60" spans="1:19" ht="285" x14ac:dyDescent="0.25">
      <c r="A60" s="125"/>
      <c r="B60" s="125"/>
      <c r="C60" s="123"/>
      <c r="D60" s="128"/>
      <c r="E60" s="10"/>
      <c r="F60" s="10"/>
      <c r="G60" s="10"/>
      <c r="H60" s="10" t="s">
        <v>200</v>
      </c>
      <c r="I60" s="10" t="s">
        <v>201</v>
      </c>
      <c r="J60" s="10" t="s">
        <v>202</v>
      </c>
      <c r="K60" s="10" t="s">
        <v>205</v>
      </c>
      <c r="L60" s="10"/>
      <c r="M60" s="19">
        <v>40961</v>
      </c>
      <c r="N60" s="113"/>
      <c r="O60" s="122"/>
      <c r="P60" s="72"/>
      <c r="Q60" s="72"/>
      <c r="R60" s="122"/>
      <c r="S60" s="122"/>
    </row>
    <row r="61" spans="1:19" ht="105" x14ac:dyDescent="0.25">
      <c r="A61" s="125"/>
      <c r="B61" s="125"/>
      <c r="C61" s="123"/>
      <c r="D61" s="128"/>
      <c r="E61" s="10"/>
      <c r="F61" s="10"/>
      <c r="G61" s="10"/>
      <c r="H61" s="10"/>
      <c r="I61" s="10"/>
      <c r="J61" s="10"/>
      <c r="K61" s="10" t="s">
        <v>206</v>
      </c>
      <c r="L61" s="10"/>
      <c r="M61" s="19">
        <v>41241</v>
      </c>
      <c r="N61" s="113"/>
      <c r="O61" s="122"/>
      <c r="P61" s="72"/>
      <c r="Q61" s="72"/>
      <c r="R61" s="122"/>
      <c r="S61" s="122"/>
    </row>
    <row r="62" spans="1:19" ht="90" x14ac:dyDescent="0.25">
      <c r="A62" s="126"/>
      <c r="B62" s="126"/>
      <c r="C62" s="108"/>
      <c r="D62" s="129"/>
      <c r="E62" s="10"/>
      <c r="F62" s="10"/>
      <c r="G62" s="10"/>
      <c r="H62" s="10"/>
      <c r="I62" s="10"/>
      <c r="J62" s="10"/>
      <c r="K62" s="10" t="s">
        <v>207</v>
      </c>
      <c r="L62" s="10"/>
      <c r="M62" s="19">
        <v>40443</v>
      </c>
      <c r="N62" s="110"/>
      <c r="O62" s="112"/>
      <c r="P62" s="73"/>
      <c r="Q62" s="73"/>
      <c r="R62" s="112"/>
      <c r="S62" s="112"/>
    </row>
    <row r="63" spans="1:19" ht="45" x14ac:dyDescent="0.25">
      <c r="A63" s="124" t="s">
        <v>208</v>
      </c>
      <c r="B63" s="124" t="s">
        <v>209</v>
      </c>
      <c r="C63" s="107">
        <v>904</v>
      </c>
      <c r="D63" s="127" t="s">
        <v>195</v>
      </c>
      <c r="E63" s="10" t="s">
        <v>210</v>
      </c>
      <c r="F63" s="10" t="s">
        <v>213</v>
      </c>
      <c r="G63" s="10" t="s">
        <v>211</v>
      </c>
      <c r="H63" s="107"/>
      <c r="I63" s="107"/>
      <c r="J63" s="107"/>
      <c r="K63" s="10" t="s">
        <v>31</v>
      </c>
      <c r="L63" s="10" t="s">
        <v>214</v>
      </c>
      <c r="M63" s="10" t="s">
        <v>32</v>
      </c>
      <c r="N63" s="109">
        <v>200000</v>
      </c>
      <c r="O63" s="109">
        <v>199976</v>
      </c>
      <c r="P63" s="68">
        <v>10300000</v>
      </c>
      <c r="Q63" s="68">
        <v>200000</v>
      </c>
      <c r="R63" s="109">
        <v>200000</v>
      </c>
      <c r="S63" s="109">
        <v>200000</v>
      </c>
    </row>
    <row r="64" spans="1:19" ht="90" x14ac:dyDescent="0.25">
      <c r="A64" s="125"/>
      <c r="B64" s="125"/>
      <c r="C64" s="123"/>
      <c r="D64" s="128"/>
      <c r="E64" s="10" t="s">
        <v>22</v>
      </c>
      <c r="F64" s="10" t="s">
        <v>212</v>
      </c>
      <c r="G64" s="10" t="s">
        <v>136</v>
      </c>
      <c r="H64" s="123"/>
      <c r="I64" s="123"/>
      <c r="J64" s="123"/>
      <c r="K64" s="10" t="s">
        <v>215</v>
      </c>
      <c r="L64" s="10"/>
      <c r="M64" s="28" t="s">
        <v>502</v>
      </c>
      <c r="N64" s="113"/>
      <c r="O64" s="113"/>
      <c r="P64" s="70"/>
      <c r="Q64" s="70"/>
      <c r="R64" s="113"/>
      <c r="S64" s="113"/>
    </row>
    <row r="65" spans="1:19" ht="105" x14ac:dyDescent="0.25">
      <c r="A65" s="126"/>
      <c r="B65" s="126"/>
      <c r="C65" s="108"/>
      <c r="D65" s="129"/>
      <c r="E65" s="10"/>
      <c r="F65" s="10"/>
      <c r="G65" s="10"/>
      <c r="H65" s="108"/>
      <c r="I65" s="108"/>
      <c r="J65" s="108"/>
      <c r="K65" s="10" t="s">
        <v>216</v>
      </c>
      <c r="L65" s="10"/>
      <c r="M65" s="10" t="s">
        <v>217</v>
      </c>
      <c r="N65" s="110"/>
      <c r="O65" s="110"/>
      <c r="P65" s="69"/>
      <c r="Q65" s="69"/>
      <c r="R65" s="110"/>
      <c r="S65" s="110"/>
    </row>
    <row r="66" spans="1:19" s="24" customFormat="1" ht="28.5" x14ac:dyDescent="0.2">
      <c r="A66" s="38"/>
      <c r="B66" s="38" t="s">
        <v>218</v>
      </c>
      <c r="C66" s="39">
        <v>906</v>
      </c>
      <c r="D66" s="40"/>
      <c r="E66" s="38"/>
      <c r="F66" s="38"/>
      <c r="G66" s="38"/>
      <c r="H66" s="38"/>
      <c r="I66" s="38"/>
      <c r="J66" s="38"/>
      <c r="K66" s="38"/>
      <c r="L66" s="38"/>
      <c r="M66" s="38"/>
      <c r="N66" s="53">
        <f>N67+N77</f>
        <v>1149635637.1100001</v>
      </c>
      <c r="O66" s="53">
        <f t="shared" ref="O66:S66" si="10">O67+O77</f>
        <v>1146138561.29</v>
      </c>
      <c r="P66" s="53">
        <f t="shared" si="10"/>
        <v>1158728866.4000001</v>
      </c>
      <c r="Q66" s="53">
        <f t="shared" si="10"/>
        <v>1109889681</v>
      </c>
      <c r="R66" s="53">
        <f t="shared" si="10"/>
        <v>1105789229</v>
      </c>
      <c r="S66" s="53">
        <f t="shared" si="10"/>
        <v>1102770729</v>
      </c>
    </row>
    <row r="67" spans="1:19" s="24" customFormat="1" ht="99.75" x14ac:dyDescent="0.2">
      <c r="A67" s="23" t="s">
        <v>84</v>
      </c>
      <c r="B67" s="18" t="s">
        <v>83</v>
      </c>
      <c r="C67" s="25"/>
      <c r="D67" s="27"/>
      <c r="E67" s="18"/>
      <c r="F67" s="18"/>
      <c r="G67" s="18"/>
      <c r="H67" s="18"/>
      <c r="I67" s="18"/>
      <c r="J67" s="18"/>
      <c r="K67" s="18"/>
      <c r="L67" s="18"/>
      <c r="M67" s="18"/>
      <c r="N67" s="54">
        <f>N68</f>
        <v>371077953.11000001</v>
      </c>
      <c r="O67" s="54">
        <f t="shared" ref="O67:S67" si="11">O68</f>
        <v>368336813.73000002</v>
      </c>
      <c r="P67" s="54">
        <f t="shared" si="11"/>
        <v>360059396.39999998</v>
      </c>
      <c r="Q67" s="54">
        <f t="shared" si="11"/>
        <v>336352081</v>
      </c>
      <c r="R67" s="54">
        <f t="shared" si="11"/>
        <v>332251629</v>
      </c>
      <c r="S67" s="54">
        <f t="shared" si="11"/>
        <v>332251629</v>
      </c>
    </row>
    <row r="68" spans="1:19" ht="195" x14ac:dyDescent="0.25">
      <c r="A68" s="107" t="s">
        <v>220</v>
      </c>
      <c r="B68" s="124" t="s">
        <v>219</v>
      </c>
      <c r="C68" s="107">
        <v>906</v>
      </c>
      <c r="D68" s="127" t="s">
        <v>221</v>
      </c>
      <c r="E68" s="10" t="s">
        <v>22</v>
      </c>
      <c r="F68" s="10" t="s">
        <v>222</v>
      </c>
      <c r="G68" s="10" t="s">
        <v>136</v>
      </c>
      <c r="H68" s="10" t="s">
        <v>223</v>
      </c>
      <c r="I68" s="10" t="s">
        <v>166</v>
      </c>
      <c r="J68" s="10" t="s">
        <v>224</v>
      </c>
      <c r="K68" s="10" t="s">
        <v>227</v>
      </c>
      <c r="L68" s="10"/>
      <c r="M68" s="10" t="s">
        <v>228</v>
      </c>
      <c r="N68" s="109">
        <v>371077953.11000001</v>
      </c>
      <c r="O68" s="109">
        <v>368336813.73000002</v>
      </c>
      <c r="P68" s="68">
        <v>360059396.39999998</v>
      </c>
      <c r="Q68" s="68">
        <v>336352081</v>
      </c>
      <c r="R68" s="109">
        <v>332251629</v>
      </c>
      <c r="S68" s="109">
        <v>332251629</v>
      </c>
    </row>
    <row r="69" spans="1:19" ht="60" x14ac:dyDescent="0.25">
      <c r="A69" s="123"/>
      <c r="B69" s="125"/>
      <c r="C69" s="123"/>
      <c r="D69" s="128"/>
      <c r="E69" s="10"/>
      <c r="F69" s="10"/>
      <c r="G69" s="10"/>
      <c r="H69" s="10" t="s">
        <v>225</v>
      </c>
      <c r="I69" s="10" t="s">
        <v>74</v>
      </c>
      <c r="J69" s="10" t="s">
        <v>226</v>
      </c>
      <c r="K69" s="10" t="s">
        <v>31</v>
      </c>
      <c r="L69" s="10" t="s">
        <v>229</v>
      </c>
      <c r="M69" s="10" t="s">
        <v>32</v>
      </c>
      <c r="N69" s="113"/>
      <c r="O69" s="113"/>
      <c r="P69" s="70"/>
      <c r="Q69" s="70"/>
      <c r="R69" s="113"/>
      <c r="S69" s="113"/>
    </row>
    <row r="70" spans="1:19" ht="90" x14ac:dyDescent="0.25">
      <c r="A70" s="123"/>
      <c r="B70" s="125"/>
      <c r="C70" s="123"/>
      <c r="D70" s="128"/>
      <c r="E70" s="10"/>
      <c r="F70" s="10"/>
      <c r="G70" s="10"/>
      <c r="H70" s="10"/>
      <c r="I70" s="10"/>
      <c r="J70" s="10"/>
      <c r="K70" s="10" t="s">
        <v>234</v>
      </c>
      <c r="L70" s="10"/>
      <c r="M70" s="10" t="s">
        <v>235</v>
      </c>
      <c r="N70" s="113"/>
      <c r="O70" s="113"/>
      <c r="P70" s="70"/>
      <c r="Q70" s="70"/>
      <c r="R70" s="113"/>
      <c r="S70" s="113"/>
    </row>
    <row r="71" spans="1:19" ht="120" x14ac:dyDescent="0.25">
      <c r="A71" s="123"/>
      <c r="B71" s="125"/>
      <c r="C71" s="123"/>
      <c r="D71" s="128"/>
      <c r="E71" s="10"/>
      <c r="F71" s="10"/>
      <c r="G71" s="10"/>
      <c r="H71" s="10"/>
      <c r="I71" s="10"/>
      <c r="J71" s="10"/>
      <c r="K71" s="10" t="s">
        <v>230</v>
      </c>
      <c r="L71" s="10"/>
      <c r="M71" s="10" t="s">
        <v>231</v>
      </c>
      <c r="N71" s="113"/>
      <c r="O71" s="113"/>
      <c r="P71" s="70"/>
      <c r="Q71" s="70"/>
      <c r="R71" s="113"/>
      <c r="S71" s="113"/>
    </row>
    <row r="72" spans="1:19" ht="135" x14ac:dyDescent="0.25">
      <c r="A72" s="123"/>
      <c r="B72" s="125"/>
      <c r="C72" s="123"/>
      <c r="D72" s="128"/>
      <c r="E72" s="10"/>
      <c r="F72" s="10"/>
      <c r="G72" s="10"/>
      <c r="H72" s="10"/>
      <c r="I72" s="10"/>
      <c r="J72" s="10"/>
      <c r="K72" s="10" t="s">
        <v>232</v>
      </c>
      <c r="L72" s="10"/>
      <c r="M72" s="10" t="s">
        <v>233</v>
      </c>
      <c r="N72" s="113"/>
      <c r="O72" s="113"/>
      <c r="P72" s="70"/>
      <c r="Q72" s="70"/>
      <c r="R72" s="113"/>
      <c r="S72" s="113"/>
    </row>
    <row r="73" spans="1:19" x14ac:dyDescent="0.25">
      <c r="A73" s="123"/>
      <c r="B73" s="125"/>
      <c r="C73" s="123"/>
      <c r="D73" s="128"/>
      <c r="E73" s="10"/>
      <c r="F73" s="10"/>
      <c r="G73" s="10"/>
      <c r="H73" s="10"/>
      <c r="I73" s="10"/>
      <c r="J73" s="10"/>
      <c r="K73" s="10"/>
      <c r="L73" s="10"/>
      <c r="M73" s="10"/>
      <c r="N73" s="113"/>
      <c r="O73" s="113"/>
      <c r="P73" s="70"/>
      <c r="Q73" s="70"/>
      <c r="R73" s="113"/>
      <c r="S73" s="113"/>
    </row>
    <row r="74" spans="1:19" ht="285" x14ac:dyDescent="0.25">
      <c r="A74" s="123"/>
      <c r="B74" s="125"/>
      <c r="C74" s="123"/>
      <c r="D74" s="128"/>
      <c r="E74" s="10"/>
      <c r="F74" s="10"/>
      <c r="G74" s="10"/>
      <c r="H74" s="10"/>
      <c r="I74" s="10"/>
      <c r="J74" s="10"/>
      <c r="K74" s="10" t="s">
        <v>503</v>
      </c>
      <c r="L74" s="10"/>
      <c r="M74" s="10" t="s">
        <v>504</v>
      </c>
      <c r="N74" s="113"/>
      <c r="O74" s="113"/>
      <c r="P74" s="70"/>
      <c r="Q74" s="70"/>
      <c r="R74" s="113"/>
      <c r="S74" s="113"/>
    </row>
    <row r="75" spans="1:19" x14ac:dyDescent="0.25">
      <c r="A75" s="123"/>
      <c r="B75" s="125"/>
      <c r="C75" s="123"/>
      <c r="D75" s="128"/>
      <c r="E75" s="10"/>
      <c r="F75" s="10"/>
      <c r="G75" s="10"/>
      <c r="H75" s="10"/>
      <c r="I75" s="10"/>
      <c r="J75" s="10"/>
      <c r="K75" s="10"/>
      <c r="L75" s="10"/>
      <c r="M75" s="10"/>
      <c r="N75" s="113"/>
      <c r="O75" s="113"/>
      <c r="P75" s="70"/>
      <c r="Q75" s="70"/>
      <c r="R75" s="113"/>
      <c r="S75" s="113"/>
    </row>
    <row r="76" spans="1:19" ht="90" x14ac:dyDescent="0.25">
      <c r="A76" s="108"/>
      <c r="B76" s="126"/>
      <c r="C76" s="108"/>
      <c r="D76" s="129"/>
      <c r="E76" s="10"/>
      <c r="F76" s="10"/>
      <c r="G76" s="10"/>
      <c r="H76" s="10"/>
      <c r="I76" s="10"/>
      <c r="J76" s="10"/>
      <c r="K76" s="10" t="s">
        <v>236</v>
      </c>
      <c r="L76" s="10"/>
      <c r="M76" s="10" t="s">
        <v>237</v>
      </c>
      <c r="N76" s="110"/>
      <c r="O76" s="110"/>
      <c r="P76" s="69"/>
      <c r="Q76" s="69"/>
      <c r="R76" s="110"/>
      <c r="S76" s="110"/>
    </row>
    <row r="77" spans="1:19" s="24" customFormat="1" ht="156.75" x14ac:dyDescent="0.2">
      <c r="A77" s="18" t="s">
        <v>82</v>
      </c>
      <c r="B77" s="18" t="s">
        <v>81</v>
      </c>
      <c r="C77" s="25"/>
      <c r="D77" s="27"/>
      <c r="E77" s="18"/>
      <c r="F77" s="18"/>
      <c r="G77" s="18"/>
      <c r="H77" s="18"/>
      <c r="I77" s="18"/>
      <c r="J77" s="18"/>
      <c r="K77" s="18"/>
      <c r="L77" s="18"/>
      <c r="M77" s="18"/>
      <c r="N77" s="54">
        <f>N78++N80+N81+N82+N86++N84</f>
        <v>778557684</v>
      </c>
      <c r="O77" s="54">
        <f>O78++O80+O81+O82+O86++O84</f>
        <v>777801747.55999994</v>
      </c>
      <c r="P77" s="54">
        <f>P78++P80+P81+P82+P86++P84</f>
        <v>798669470</v>
      </c>
      <c r="Q77" s="54">
        <f t="shared" ref="Q77:S77" si="12">Q78++Q80+Q81+Q82+Q86++Q84</f>
        <v>773537600</v>
      </c>
      <c r="R77" s="54">
        <f t="shared" si="12"/>
        <v>773537600</v>
      </c>
      <c r="S77" s="54">
        <f t="shared" si="12"/>
        <v>770519100</v>
      </c>
    </row>
    <row r="78" spans="1:19" ht="255" x14ac:dyDescent="0.25">
      <c r="A78" s="107" t="s">
        <v>239</v>
      </c>
      <c r="B78" s="124" t="s">
        <v>238</v>
      </c>
      <c r="C78" s="107">
        <v>906</v>
      </c>
      <c r="D78" s="127" t="s">
        <v>240</v>
      </c>
      <c r="E78" s="10" t="s">
        <v>97</v>
      </c>
      <c r="F78" s="10" t="s">
        <v>241</v>
      </c>
      <c r="G78" s="10" t="s">
        <v>99</v>
      </c>
      <c r="H78" s="124"/>
      <c r="I78" s="124"/>
      <c r="J78" s="124"/>
      <c r="K78" s="10" t="s">
        <v>245</v>
      </c>
      <c r="L78" s="10"/>
      <c r="M78" s="10" t="s">
        <v>131</v>
      </c>
      <c r="N78" s="109">
        <v>418583084</v>
      </c>
      <c r="O78" s="109">
        <v>418583084</v>
      </c>
      <c r="P78" s="68">
        <v>422186100</v>
      </c>
      <c r="Q78" s="68">
        <f>404233000+3018500</f>
        <v>407251500</v>
      </c>
      <c r="R78" s="109">
        <f>404233000+3018500</f>
        <v>407251500</v>
      </c>
      <c r="S78" s="109">
        <v>404233000</v>
      </c>
    </row>
    <row r="79" spans="1:19" ht="60" x14ac:dyDescent="0.25">
      <c r="A79" s="108"/>
      <c r="B79" s="126"/>
      <c r="C79" s="108"/>
      <c r="D79" s="129"/>
      <c r="E79" s="6" t="s">
        <v>242</v>
      </c>
      <c r="F79" s="10" t="s">
        <v>243</v>
      </c>
      <c r="G79" s="10" t="s">
        <v>244</v>
      </c>
      <c r="H79" s="126"/>
      <c r="I79" s="126"/>
      <c r="J79" s="126"/>
      <c r="K79" s="4"/>
      <c r="L79" s="4"/>
      <c r="M79" s="4"/>
      <c r="N79" s="110"/>
      <c r="O79" s="110"/>
      <c r="P79" s="69"/>
      <c r="Q79" s="69"/>
      <c r="R79" s="110"/>
      <c r="S79" s="110"/>
    </row>
    <row r="80" spans="1:19" ht="270" x14ac:dyDescent="0.25">
      <c r="A80" s="10" t="s">
        <v>246</v>
      </c>
      <c r="B80" s="10" t="s">
        <v>247</v>
      </c>
      <c r="C80" s="12">
        <v>906</v>
      </c>
      <c r="D80" s="22" t="s">
        <v>248</v>
      </c>
      <c r="E80" s="10" t="s">
        <v>97</v>
      </c>
      <c r="F80" s="10" t="s">
        <v>249</v>
      </c>
      <c r="G80" s="10" t="s">
        <v>99</v>
      </c>
      <c r="H80" s="10" t="s">
        <v>250</v>
      </c>
      <c r="I80" s="10" t="s">
        <v>251</v>
      </c>
      <c r="J80" s="10" t="s">
        <v>252</v>
      </c>
      <c r="K80" s="10" t="s">
        <v>253</v>
      </c>
      <c r="L80" s="10"/>
      <c r="M80" s="10" t="s">
        <v>254</v>
      </c>
      <c r="N80" s="50">
        <v>29089300</v>
      </c>
      <c r="O80" s="50">
        <v>28385192.780000001</v>
      </c>
      <c r="P80" s="50">
        <v>33296000</v>
      </c>
      <c r="Q80" s="50">
        <v>33296000</v>
      </c>
      <c r="R80" s="50">
        <v>33296000</v>
      </c>
      <c r="S80" s="50">
        <v>33296000</v>
      </c>
    </row>
    <row r="81" spans="1:19" ht="409.5" x14ac:dyDescent="0.25">
      <c r="A81" s="10" t="s">
        <v>255</v>
      </c>
      <c r="B81" s="10" t="s">
        <v>256</v>
      </c>
      <c r="C81" s="12">
        <v>906</v>
      </c>
      <c r="D81" s="22" t="s">
        <v>271</v>
      </c>
      <c r="E81" s="10" t="s">
        <v>97</v>
      </c>
      <c r="F81" s="10" t="s">
        <v>257</v>
      </c>
      <c r="G81" s="10" t="s">
        <v>99</v>
      </c>
      <c r="H81" s="10" t="s">
        <v>258</v>
      </c>
      <c r="I81" s="10" t="s">
        <v>251</v>
      </c>
      <c r="J81" s="10" t="s">
        <v>259</v>
      </c>
      <c r="K81" s="10" t="s">
        <v>260</v>
      </c>
      <c r="L81" s="10"/>
      <c r="M81" s="10" t="s">
        <v>261</v>
      </c>
      <c r="N81" s="50">
        <v>2122600</v>
      </c>
      <c r="O81" s="50">
        <v>2073004.41</v>
      </c>
      <c r="P81" s="50">
        <v>2677000</v>
      </c>
      <c r="Q81" s="50">
        <v>2677000</v>
      </c>
      <c r="R81" s="50">
        <v>2677000</v>
      </c>
      <c r="S81" s="50">
        <v>2677000</v>
      </c>
    </row>
    <row r="82" spans="1:19" ht="75" x14ac:dyDescent="0.25">
      <c r="A82" s="107" t="s">
        <v>262</v>
      </c>
      <c r="B82" s="124" t="s">
        <v>263</v>
      </c>
      <c r="C82" s="107">
        <v>906</v>
      </c>
      <c r="D82" s="127" t="s">
        <v>172</v>
      </c>
      <c r="E82" s="124" t="s">
        <v>97</v>
      </c>
      <c r="F82" s="124" t="s">
        <v>264</v>
      </c>
      <c r="G82" s="124" t="s">
        <v>99</v>
      </c>
      <c r="H82" s="124" t="s">
        <v>265</v>
      </c>
      <c r="I82" s="124" t="s">
        <v>74</v>
      </c>
      <c r="J82" s="124" t="s">
        <v>266</v>
      </c>
      <c r="K82" s="10" t="s">
        <v>267</v>
      </c>
      <c r="L82" s="10"/>
      <c r="M82" s="10" t="s">
        <v>268</v>
      </c>
      <c r="N82" s="109">
        <v>10302400</v>
      </c>
      <c r="O82" s="109">
        <v>10302399.789999999</v>
      </c>
      <c r="P82" s="68">
        <v>9990900</v>
      </c>
      <c r="Q82" s="68">
        <v>9990900</v>
      </c>
      <c r="R82" s="109">
        <v>9990900</v>
      </c>
      <c r="S82" s="109">
        <v>9990900</v>
      </c>
    </row>
    <row r="83" spans="1:19" x14ac:dyDescent="0.25">
      <c r="A83" s="108"/>
      <c r="B83" s="126"/>
      <c r="C83" s="108"/>
      <c r="D83" s="129"/>
      <c r="E83" s="126"/>
      <c r="F83" s="126"/>
      <c r="G83" s="126"/>
      <c r="H83" s="126"/>
      <c r="I83" s="126"/>
      <c r="J83" s="126"/>
      <c r="K83" s="10"/>
      <c r="L83" s="10"/>
      <c r="M83" s="10"/>
      <c r="N83" s="110"/>
      <c r="O83" s="110"/>
      <c r="P83" s="69"/>
      <c r="Q83" s="69"/>
      <c r="R83" s="110"/>
      <c r="S83" s="110"/>
    </row>
    <row r="84" spans="1:19" ht="225" x14ac:dyDescent="0.25">
      <c r="A84" s="124" t="s">
        <v>270</v>
      </c>
      <c r="B84" s="124" t="s">
        <v>269</v>
      </c>
      <c r="C84" s="107">
        <v>906</v>
      </c>
      <c r="D84" s="127" t="s">
        <v>271</v>
      </c>
      <c r="E84" s="10" t="s">
        <v>97</v>
      </c>
      <c r="F84" s="10" t="s">
        <v>264</v>
      </c>
      <c r="G84" s="10" t="s">
        <v>99</v>
      </c>
      <c r="H84" s="107"/>
      <c r="I84" s="107"/>
      <c r="J84" s="107"/>
      <c r="K84" s="10" t="s">
        <v>272</v>
      </c>
      <c r="L84" s="10"/>
      <c r="M84" s="10" t="s">
        <v>273</v>
      </c>
      <c r="N84" s="109">
        <v>315221600</v>
      </c>
      <c r="O84" s="109">
        <v>315219692.58999997</v>
      </c>
      <c r="P84" s="68">
        <v>325467500</v>
      </c>
      <c r="Q84" s="68">
        <v>314363300</v>
      </c>
      <c r="R84" s="109">
        <v>314363300</v>
      </c>
      <c r="S84" s="109">
        <v>314363300</v>
      </c>
    </row>
    <row r="85" spans="1:19" ht="60" x14ac:dyDescent="0.25">
      <c r="A85" s="126"/>
      <c r="B85" s="126"/>
      <c r="C85" s="108"/>
      <c r="D85" s="129"/>
      <c r="E85" s="10" t="s">
        <v>242</v>
      </c>
      <c r="F85" s="10" t="s">
        <v>243</v>
      </c>
      <c r="G85" s="10" t="s">
        <v>244</v>
      </c>
      <c r="H85" s="108"/>
      <c r="I85" s="108"/>
      <c r="J85" s="108"/>
      <c r="K85" s="10"/>
      <c r="L85" s="10"/>
      <c r="M85" s="10"/>
      <c r="N85" s="110"/>
      <c r="O85" s="110"/>
      <c r="P85" s="69"/>
      <c r="Q85" s="69"/>
      <c r="R85" s="110"/>
      <c r="S85" s="110"/>
    </row>
    <row r="86" spans="1:19" ht="225" x14ac:dyDescent="0.25">
      <c r="A86" s="10" t="s">
        <v>274</v>
      </c>
      <c r="B86" s="10" t="s">
        <v>275</v>
      </c>
      <c r="C86" s="12">
        <v>906</v>
      </c>
      <c r="D86" s="22" t="s">
        <v>276</v>
      </c>
      <c r="E86" s="10" t="s">
        <v>97</v>
      </c>
      <c r="F86" s="10" t="s">
        <v>277</v>
      </c>
      <c r="G86" s="10" t="s">
        <v>99</v>
      </c>
      <c r="H86" s="10" t="s">
        <v>278</v>
      </c>
      <c r="I86" s="10" t="s">
        <v>74</v>
      </c>
      <c r="J86" s="10" t="s">
        <v>30</v>
      </c>
      <c r="K86" s="10" t="s">
        <v>279</v>
      </c>
      <c r="L86" s="10"/>
      <c r="M86" s="10" t="s">
        <v>280</v>
      </c>
      <c r="N86" s="50">
        <v>3238700</v>
      </c>
      <c r="O86" s="50">
        <v>3238373.99</v>
      </c>
      <c r="P86" s="50">
        <v>5051970</v>
      </c>
      <c r="Q86" s="50">
        <v>5958900</v>
      </c>
      <c r="R86" s="50">
        <v>5958900</v>
      </c>
      <c r="S86" s="50">
        <v>5958900</v>
      </c>
    </row>
    <row r="87" spans="1:19" s="24" customFormat="1" ht="42.75" x14ac:dyDescent="0.2">
      <c r="A87" s="38"/>
      <c r="B87" s="38" t="s">
        <v>465</v>
      </c>
      <c r="C87" s="39">
        <v>908</v>
      </c>
      <c r="D87" s="40"/>
      <c r="E87" s="38"/>
      <c r="F87" s="38"/>
      <c r="G87" s="38"/>
      <c r="H87" s="38"/>
      <c r="I87" s="38"/>
      <c r="J87" s="38"/>
      <c r="K87" s="38"/>
      <c r="L87" s="38"/>
      <c r="M87" s="38"/>
      <c r="N87" s="52">
        <f>N88+N93</f>
        <v>100127621.46000001</v>
      </c>
      <c r="O87" s="52">
        <f t="shared" ref="O87:S87" si="13">O88+O93</f>
        <v>100063932.85000001</v>
      </c>
      <c r="P87" s="52">
        <f t="shared" si="13"/>
        <v>105789775</v>
      </c>
      <c r="Q87" s="52">
        <f t="shared" si="13"/>
        <v>91104735</v>
      </c>
      <c r="R87" s="52">
        <f t="shared" si="13"/>
        <v>91104735</v>
      </c>
      <c r="S87" s="52">
        <f t="shared" si="13"/>
        <v>91104735</v>
      </c>
    </row>
    <row r="88" spans="1:19" s="24" customFormat="1" ht="156.75" x14ac:dyDescent="0.2">
      <c r="A88" s="18" t="s">
        <v>82</v>
      </c>
      <c r="B88" s="18" t="s">
        <v>81</v>
      </c>
      <c r="C88" s="17"/>
      <c r="D88" s="27"/>
      <c r="E88" s="18"/>
      <c r="F88" s="18"/>
      <c r="G88" s="18"/>
      <c r="H88" s="18"/>
      <c r="I88" s="18"/>
      <c r="J88" s="18"/>
      <c r="K88" s="18"/>
      <c r="L88" s="18"/>
      <c r="M88" s="18"/>
      <c r="N88" s="51">
        <f>SUM(N89:N92)</f>
        <v>99763590.170000002</v>
      </c>
      <c r="O88" s="51">
        <f t="shared" ref="O88:S88" si="14">SUM(O89:O92)</f>
        <v>99699901.560000002</v>
      </c>
      <c r="P88" s="51">
        <f t="shared" si="14"/>
        <v>104782740</v>
      </c>
      <c r="Q88" s="51">
        <f t="shared" si="14"/>
        <v>90097700</v>
      </c>
      <c r="R88" s="51">
        <f t="shared" si="14"/>
        <v>90097700</v>
      </c>
      <c r="S88" s="51">
        <f t="shared" si="14"/>
        <v>90097700</v>
      </c>
    </row>
    <row r="89" spans="1:19" ht="255" x14ac:dyDescent="0.25">
      <c r="A89" s="124" t="s">
        <v>467</v>
      </c>
      <c r="B89" s="10" t="s">
        <v>466</v>
      </c>
      <c r="C89" s="12">
        <v>908</v>
      </c>
      <c r="D89" s="22" t="s">
        <v>248</v>
      </c>
      <c r="E89" s="10" t="s">
        <v>97</v>
      </c>
      <c r="F89" s="10" t="s">
        <v>468</v>
      </c>
      <c r="G89" s="10" t="s">
        <v>99</v>
      </c>
      <c r="H89" s="10" t="s">
        <v>469</v>
      </c>
      <c r="I89" s="10" t="s">
        <v>74</v>
      </c>
      <c r="J89" s="10" t="s">
        <v>470</v>
      </c>
      <c r="K89" s="10" t="s">
        <v>474</v>
      </c>
      <c r="L89" s="10"/>
      <c r="M89" s="10" t="s">
        <v>475</v>
      </c>
      <c r="N89" s="109">
        <v>192190.17</v>
      </c>
      <c r="O89" s="109">
        <v>192190.17</v>
      </c>
      <c r="P89" s="68">
        <v>192200</v>
      </c>
      <c r="Q89" s="68">
        <v>192200</v>
      </c>
      <c r="R89" s="109">
        <v>192200</v>
      </c>
      <c r="S89" s="109">
        <v>192200</v>
      </c>
    </row>
    <row r="90" spans="1:19" ht="210" x14ac:dyDescent="0.25">
      <c r="A90" s="126"/>
      <c r="B90" s="10"/>
      <c r="C90" s="12"/>
      <c r="D90" s="22"/>
      <c r="E90" s="10"/>
      <c r="F90" s="10"/>
      <c r="G90" s="10"/>
      <c r="H90" s="10" t="s">
        <v>471</v>
      </c>
      <c r="I90" s="10" t="s">
        <v>472</v>
      </c>
      <c r="J90" s="10" t="s">
        <v>473</v>
      </c>
      <c r="K90" s="10"/>
      <c r="L90" s="10"/>
      <c r="M90" s="10"/>
      <c r="N90" s="110"/>
      <c r="O90" s="110"/>
      <c r="P90" s="69"/>
      <c r="Q90" s="69"/>
      <c r="R90" s="110"/>
      <c r="S90" s="110"/>
    </row>
    <row r="91" spans="1:19" ht="300" x14ac:dyDescent="0.25">
      <c r="A91" s="10" t="s">
        <v>477</v>
      </c>
      <c r="B91" s="10" t="s">
        <v>476</v>
      </c>
      <c r="C91" s="12">
        <v>908</v>
      </c>
      <c r="D91" s="22" t="s">
        <v>478</v>
      </c>
      <c r="E91" s="10" t="s">
        <v>97</v>
      </c>
      <c r="F91" s="10" t="s">
        <v>479</v>
      </c>
      <c r="G91" s="10" t="s">
        <v>99</v>
      </c>
      <c r="H91" s="10" t="s">
        <v>471</v>
      </c>
      <c r="I91" s="10" t="s">
        <v>480</v>
      </c>
      <c r="J91" s="10" t="s">
        <v>473</v>
      </c>
      <c r="K91" s="10" t="s">
        <v>481</v>
      </c>
      <c r="L91" s="10"/>
      <c r="M91" s="10" t="s">
        <v>482</v>
      </c>
      <c r="N91" s="50">
        <v>66380600</v>
      </c>
      <c r="O91" s="50">
        <v>66317421.909999996</v>
      </c>
      <c r="P91" s="50">
        <v>70100290</v>
      </c>
      <c r="Q91" s="50">
        <v>56613600</v>
      </c>
      <c r="R91" s="50">
        <v>56613600</v>
      </c>
      <c r="S91" s="50">
        <v>56613600</v>
      </c>
    </row>
    <row r="92" spans="1:19" ht="300" x14ac:dyDescent="0.25">
      <c r="A92" s="30" t="s">
        <v>483</v>
      </c>
      <c r="B92" s="30" t="s">
        <v>484</v>
      </c>
      <c r="C92" s="29">
        <v>908</v>
      </c>
      <c r="D92" s="31" t="s">
        <v>485</v>
      </c>
      <c r="E92" s="30" t="s">
        <v>97</v>
      </c>
      <c r="F92" s="30" t="s">
        <v>479</v>
      </c>
      <c r="G92" s="30" t="s">
        <v>99</v>
      </c>
      <c r="H92" s="30" t="s">
        <v>486</v>
      </c>
      <c r="I92" s="30" t="s">
        <v>74</v>
      </c>
      <c r="J92" s="30" t="s">
        <v>259</v>
      </c>
      <c r="K92" s="30" t="s">
        <v>487</v>
      </c>
      <c r="L92" s="30"/>
      <c r="M92" s="30" t="s">
        <v>488</v>
      </c>
      <c r="N92" s="55">
        <v>33190800</v>
      </c>
      <c r="O92" s="55">
        <v>33190289.48</v>
      </c>
      <c r="P92" s="71">
        <v>34490250</v>
      </c>
      <c r="Q92" s="71">
        <v>33291900</v>
      </c>
      <c r="R92" s="71">
        <v>33291900</v>
      </c>
      <c r="S92" s="55">
        <v>33291900</v>
      </c>
    </row>
    <row r="93" spans="1:19" s="24" customFormat="1" ht="199.5" x14ac:dyDescent="0.2">
      <c r="A93" s="18" t="s">
        <v>490</v>
      </c>
      <c r="B93" s="18" t="s">
        <v>489</v>
      </c>
      <c r="C93" s="17"/>
      <c r="D93" s="27"/>
      <c r="E93" s="18"/>
      <c r="F93" s="18"/>
      <c r="G93" s="18"/>
      <c r="H93" s="18"/>
      <c r="I93" s="18"/>
      <c r="J93" s="18"/>
      <c r="K93" s="18"/>
      <c r="L93" s="18"/>
      <c r="M93" s="18"/>
      <c r="N93" s="51">
        <f>N94</f>
        <v>364031.29</v>
      </c>
      <c r="O93" s="51">
        <f t="shared" ref="O93:S94" si="15">O94</f>
        <v>364031.29</v>
      </c>
      <c r="P93" s="51">
        <f t="shared" si="15"/>
        <v>1007035</v>
      </c>
      <c r="Q93" s="51">
        <f t="shared" si="15"/>
        <v>1007035</v>
      </c>
      <c r="R93" s="51">
        <f t="shared" si="15"/>
        <v>1007035</v>
      </c>
      <c r="S93" s="51">
        <f t="shared" si="15"/>
        <v>1007035</v>
      </c>
    </row>
    <row r="94" spans="1:19" s="24" customFormat="1" ht="156.75" x14ac:dyDescent="0.2">
      <c r="A94" s="18" t="s">
        <v>492</v>
      </c>
      <c r="B94" s="18" t="s">
        <v>491</v>
      </c>
      <c r="C94" s="17"/>
      <c r="D94" s="27"/>
      <c r="E94" s="18"/>
      <c r="F94" s="18"/>
      <c r="G94" s="18"/>
      <c r="H94" s="18"/>
      <c r="I94" s="18"/>
      <c r="J94" s="18"/>
      <c r="K94" s="18"/>
      <c r="L94" s="18"/>
      <c r="M94" s="18"/>
      <c r="N94" s="103">
        <f>N95</f>
        <v>364031.29</v>
      </c>
      <c r="O94" s="103">
        <f t="shared" si="15"/>
        <v>364031.29</v>
      </c>
      <c r="P94" s="103">
        <f t="shared" si="15"/>
        <v>1007035</v>
      </c>
      <c r="Q94" s="103">
        <f t="shared" si="15"/>
        <v>1007035</v>
      </c>
      <c r="R94" s="103">
        <f t="shared" si="15"/>
        <v>1007035</v>
      </c>
      <c r="S94" s="103">
        <f t="shared" si="15"/>
        <v>1007035</v>
      </c>
    </row>
    <row r="95" spans="1:19" ht="120" x14ac:dyDescent="0.25">
      <c r="A95" s="10" t="s">
        <v>494</v>
      </c>
      <c r="B95" s="10" t="s">
        <v>493</v>
      </c>
      <c r="C95" s="12">
        <v>908</v>
      </c>
      <c r="D95" s="22" t="s">
        <v>495</v>
      </c>
      <c r="E95" s="10" t="s">
        <v>22</v>
      </c>
      <c r="F95" s="10" t="s">
        <v>496</v>
      </c>
      <c r="G95" s="10" t="s">
        <v>136</v>
      </c>
      <c r="H95" s="10" t="s">
        <v>26</v>
      </c>
      <c r="I95" s="10" t="s">
        <v>409</v>
      </c>
      <c r="J95" s="10" t="s">
        <v>28</v>
      </c>
      <c r="K95" s="10" t="s">
        <v>497</v>
      </c>
      <c r="L95" s="10"/>
      <c r="M95" s="102" t="s">
        <v>498</v>
      </c>
      <c r="N95" s="105">
        <v>364031.29</v>
      </c>
      <c r="O95" s="105">
        <v>364031.29</v>
      </c>
      <c r="P95" s="105">
        <v>1007035</v>
      </c>
      <c r="Q95" s="105">
        <v>1007035</v>
      </c>
      <c r="R95" s="105">
        <v>1007035</v>
      </c>
      <c r="S95" s="98">
        <v>1007035</v>
      </c>
    </row>
    <row r="96" spans="1:19" ht="135" x14ac:dyDescent="0.25">
      <c r="A96" s="10"/>
      <c r="B96" s="10"/>
      <c r="C96" s="12"/>
      <c r="D96" s="22"/>
      <c r="E96" s="10"/>
      <c r="F96" s="10"/>
      <c r="G96" s="10"/>
      <c r="H96" s="10"/>
      <c r="I96" s="10"/>
      <c r="J96" s="10"/>
      <c r="K96" s="10" t="s">
        <v>532</v>
      </c>
      <c r="L96" s="10"/>
      <c r="M96" s="102" t="s">
        <v>533</v>
      </c>
      <c r="N96" s="106"/>
      <c r="O96" s="106"/>
      <c r="P96" s="106"/>
      <c r="Q96" s="106"/>
      <c r="R96" s="106"/>
      <c r="S96" s="99"/>
    </row>
    <row r="97" spans="1:19" s="24" customFormat="1" ht="85.5" x14ac:dyDescent="0.2">
      <c r="A97" s="38"/>
      <c r="B97" s="38" t="s">
        <v>281</v>
      </c>
      <c r="C97" s="39">
        <v>909</v>
      </c>
      <c r="D97" s="40"/>
      <c r="E97" s="38"/>
      <c r="F97" s="38"/>
      <c r="G97" s="38"/>
      <c r="H97" s="38"/>
      <c r="I97" s="38"/>
      <c r="J97" s="38"/>
      <c r="K97" s="38"/>
      <c r="L97" s="38"/>
      <c r="M97" s="38"/>
      <c r="N97" s="104">
        <f t="shared" ref="N97:S97" si="16">N98+N127</f>
        <v>432599363.81</v>
      </c>
      <c r="O97" s="104">
        <f t="shared" si="16"/>
        <v>417131638.24000001</v>
      </c>
      <c r="P97" s="104">
        <f t="shared" si="16"/>
        <v>374352438.58999997</v>
      </c>
      <c r="Q97" s="104">
        <f t="shared" si="16"/>
        <v>220198023</v>
      </c>
      <c r="R97" s="104">
        <f t="shared" si="16"/>
        <v>218623108</v>
      </c>
      <c r="S97" s="104">
        <f t="shared" si="16"/>
        <v>218623108</v>
      </c>
    </row>
    <row r="98" spans="1:19" s="24" customFormat="1" ht="99.75" x14ac:dyDescent="0.2">
      <c r="A98" s="23" t="s">
        <v>84</v>
      </c>
      <c r="B98" s="18" t="s">
        <v>83</v>
      </c>
      <c r="C98" s="18"/>
      <c r="D98" s="27"/>
      <c r="E98" s="18"/>
      <c r="F98" s="18"/>
      <c r="G98" s="18"/>
      <c r="H98" s="18"/>
      <c r="I98" s="18"/>
      <c r="J98" s="18"/>
      <c r="K98" s="18"/>
      <c r="L98" s="18"/>
      <c r="M98" s="18"/>
      <c r="N98" s="51">
        <f>N99+N101+N103++N106+N109+N111+N113+N117+N119+N121++N124</f>
        <v>325912263.81</v>
      </c>
      <c r="O98" s="51">
        <f t="shared" ref="O98:S98" si="17">O99+O101+O103++O106+O109+O111+O113+O117+O119+O121++O124</f>
        <v>325823741.24000001</v>
      </c>
      <c r="P98" s="51">
        <f>P99+P101+P103++P106+P109+P111+P113+P117+P119+P121++P124+P115</f>
        <v>277237038.58999997</v>
      </c>
      <c r="Q98" s="51">
        <f>Q99+Q101+Q103++Q106+Q109+Q111+Q113+Q117+Q119+Q121++Q124+Q115</f>
        <v>123082623</v>
      </c>
      <c r="R98" s="51">
        <f t="shared" si="17"/>
        <v>121507708</v>
      </c>
      <c r="S98" s="51">
        <f t="shared" si="17"/>
        <v>121507708</v>
      </c>
    </row>
    <row r="99" spans="1:19" ht="105" x14ac:dyDescent="0.25">
      <c r="A99" s="124" t="s">
        <v>18</v>
      </c>
      <c r="B99" s="124" t="s">
        <v>19</v>
      </c>
      <c r="C99" s="107">
        <v>909</v>
      </c>
      <c r="D99" s="127" t="s">
        <v>282</v>
      </c>
      <c r="E99" s="10" t="s">
        <v>22</v>
      </c>
      <c r="F99" s="10" t="s">
        <v>36</v>
      </c>
      <c r="G99" s="9" t="s">
        <v>23</v>
      </c>
      <c r="H99" s="10" t="s">
        <v>26</v>
      </c>
      <c r="I99" s="11" t="s">
        <v>27</v>
      </c>
      <c r="J99" s="9" t="s">
        <v>28</v>
      </c>
      <c r="K99" s="10" t="s">
        <v>31</v>
      </c>
      <c r="L99" s="4"/>
      <c r="M99" s="10" t="s">
        <v>32</v>
      </c>
      <c r="N99" s="111">
        <f>5674717.54+599598.23-99826.58</f>
        <v>6174489.1899999995</v>
      </c>
      <c r="O99" s="111">
        <f>5642928.83+599598.23-99826.58</f>
        <v>6142700.4800000004</v>
      </c>
      <c r="P99" s="71">
        <f>5746765+10000</f>
        <v>5756765</v>
      </c>
      <c r="Q99" s="71">
        <v>5495509</v>
      </c>
      <c r="R99" s="111">
        <v>5495509</v>
      </c>
      <c r="S99" s="111">
        <v>5495509</v>
      </c>
    </row>
    <row r="100" spans="1:19" ht="285" x14ac:dyDescent="0.25">
      <c r="A100" s="126"/>
      <c r="B100" s="126"/>
      <c r="C100" s="108"/>
      <c r="D100" s="129"/>
      <c r="E100" s="9" t="s">
        <v>24</v>
      </c>
      <c r="F100" s="7" t="s">
        <v>27</v>
      </c>
      <c r="G100" s="9" t="s">
        <v>25</v>
      </c>
      <c r="H100" s="10" t="s">
        <v>29</v>
      </c>
      <c r="I100" s="11" t="s">
        <v>27</v>
      </c>
      <c r="J100" s="10" t="s">
        <v>30</v>
      </c>
      <c r="K100" s="10" t="s">
        <v>283</v>
      </c>
      <c r="L100" s="10"/>
      <c r="M100" s="10" t="s">
        <v>284</v>
      </c>
      <c r="N100" s="112"/>
      <c r="O100" s="112"/>
      <c r="P100" s="73"/>
      <c r="Q100" s="73"/>
      <c r="R100" s="112"/>
      <c r="S100" s="112"/>
    </row>
    <row r="101" spans="1:19" ht="90" x14ac:dyDescent="0.25">
      <c r="A101" s="124" t="s">
        <v>38</v>
      </c>
      <c r="B101" s="124" t="s">
        <v>39</v>
      </c>
      <c r="C101" s="107">
        <v>909</v>
      </c>
      <c r="D101" s="127" t="s">
        <v>282</v>
      </c>
      <c r="E101" s="10" t="s">
        <v>22</v>
      </c>
      <c r="F101" s="10" t="s">
        <v>41</v>
      </c>
      <c r="G101" s="10" t="s">
        <v>23</v>
      </c>
      <c r="H101" s="14"/>
      <c r="I101" s="10"/>
      <c r="J101" s="10"/>
      <c r="K101" s="15" t="s">
        <v>285</v>
      </c>
      <c r="L101" s="10"/>
      <c r="M101" s="10" t="s">
        <v>286</v>
      </c>
      <c r="N101" s="111">
        <v>8516487.4800000004</v>
      </c>
      <c r="O101" s="109">
        <v>8503135.5199999996</v>
      </c>
      <c r="P101" s="68">
        <v>8703241</v>
      </c>
      <c r="Q101" s="68">
        <v>8388488</v>
      </c>
      <c r="R101" s="109">
        <v>8388488</v>
      </c>
      <c r="S101" s="109">
        <v>8388488</v>
      </c>
    </row>
    <row r="102" spans="1:19" ht="30" x14ac:dyDescent="0.25">
      <c r="A102" s="126"/>
      <c r="B102" s="126"/>
      <c r="C102" s="108"/>
      <c r="D102" s="129"/>
      <c r="E102" s="10"/>
      <c r="F102" s="10"/>
      <c r="G102" s="10"/>
      <c r="H102" s="10"/>
      <c r="I102" s="10"/>
      <c r="J102" s="10"/>
      <c r="K102" s="10" t="s">
        <v>31</v>
      </c>
      <c r="L102" s="7" t="s">
        <v>43</v>
      </c>
      <c r="M102" s="10" t="s">
        <v>45</v>
      </c>
      <c r="N102" s="112"/>
      <c r="O102" s="110"/>
      <c r="P102" s="69"/>
      <c r="Q102" s="69"/>
      <c r="R102" s="110"/>
      <c r="S102" s="110"/>
    </row>
    <row r="103" spans="1:19" ht="150" x14ac:dyDescent="0.25">
      <c r="A103" s="107" t="s">
        <v>288</v>
      </c>
      <c r="B103" s="124" t="s">
        <v>287</v>
      </c>
      <c r="C103" s="107">
        <v>909</v>
      </c>
      <c r="D103" s="127" t="s">
        <v>289</v>
      </c>
      <c r="E103" s="10" t="s">
        <v>22</v>
      </c>
      <c r="F103" s="10" t="s">
        <v>290</v>
      </c>
      <c r="G103" s="10" t="s">
        <v>136</v>
      </c>
      <c r="H103" s="10" t="s">
        <v>293</v>
      </c>
      <c r="I103" s="10" t="s">
        <v>294</v>
      </c>
      <c r="J103" s="10" t="s">
        <v>295</v>
      </c>
      <c r="K103" s="10" t="s">
        <v>297</v>
      </c>
      <c r="L103" s="10"/>
      <c r="M103" s="10" t="s">
        <v>298</v>
      </c>
      <c r="N103" s="109">
        <f>6800000+99001.22+253895.24</f>
        <v>7152896.46</v>
      </c>
      <c r="O103" s="109">
        <f>6792160+99001.22+253895.24</f>
        <v>7145056.46</v>
      </c>
      <c r="P103" s="68">
        <v>1087982</v>
      </c>
      <c r="Q103" s="68">
        <v>412000</v>
      </c>
      <c r="R103" s="109">
        <v>270000</v>
      </c>
      <c r="S103" s="109">
        <v>270000</v>
      </c>
    </row>
    <row r="104" spans="1:19" ht="255" x14ac:dyDescent="0.25">
      <c r="A104" s="123"/>
      <c r="B104" s="125"/>
      <c r="C104" s="123"/>
      <c r="D104" s="128"/>
      <c r="E104" s="10" t="s">
        <v>291</v>
      </c>
      <c r="F104" s="10" t="s">
        <v>292</v>
      </c>
      <c r="G104" s="10" t="s">
        <v>259</v>
      </c>
      <c r="H104" s="10"/>
      <c r="I104" s="10"/>
      <c r="J104" s="10"/>
      <c r="K104" s="65" t="s">
        <v>299</v>
      </c>
      <c r="L104" s="65"/>
      <c r="M104" s="65" t="s">
        <v>521</v>
      </c>
      <c r="N104" s="113"/>
      <c r="O104" s="113"/>
      <c r="P104" s="70"/>
      <c r="Q104" s="70"/>
      <c r="R104" s="113"/>
      <c r="S104" s="113"/>
    </row>
    <row r="105" spans="1:19" ht="45" x14ac:dyDescent="0.25">
      <c r="A105" s="108"/>
      <c r="B105" s="126"/>
      <c r="C105" s="108"/>
      <c r="D105" s="129"/>
      <c r="E105" s="10"/>
      <c r="F105" s="10"/>
      <c r="G105" s="10"/>
      <c r="H105" s="10"/>
      <c r="I105" s="10"/>
      <c r="J105" s="10"/>
      <c r="K105" s="10" t="s">
        <v>31</v>
      </c>
      <c r="L105" s="10" t="s">
        <v>296</v>
      </c>
      <c r="M105" s="10" t="s">
        <v>32</v>
      </c>
      <c r="N105" s="110"/>
      <c r="O105" s="110"/>
      <c r="P105" s="69"/>
      <c r="Q105" s="69"/>
      <c r="R105" s="110"/>
      <c r="S105" s="110"/>
    </row>
    <row r="106" spans="1:19" ht="135" x14ac:dyDescent="0.25">
      <c r="A106" s="124" t="s">
        <v>300</v>
      </c>
      <c r="B106" s="124" t="s">
        <v>301</v>
      </c>
      <c r="C106" s="107">
        <v>909</v>
      </c>
      <c r="D106" s="127" t="s">
        <v>302</v>
      </c>
      <c r="E106" s="10" t="s">
        <v>303</v>
      </c>
      <c r="F106" s="10" t="s">
        <v>304</v>
      </c>
      <c r="G106" s="10" t="s">
        <v>305</v>
      </c>
      <c r="H106" s="10" t="s">
        <v>306</v>
      </c>
      <c r="I106" s="10" t="s">
        <v>74</v>
      </c>
      <c r="J106" s="10" t="s">
        <v>307</v>
      </c>
      <c r="K106" s="10" t="s">
        <v>308</v>
      </c>
      <c r="L106" s="10"/>
      <c r="M106" s="10" t="s">
        <v>309</v>
      </c>
      <c r="N106" s="109">
        <v>136947437.25</v>
      </c>
      <c r="O106" s="109">
        <v>136944876.49000001</v>
      </c>
      <c r="P106" s="68">
        <v>134085315.76000001</v>
      </c>
      <c r="Q106" s="68">
        <v>22786469</v>
      </c>
      <c r="R106" s="109">
        <v>25313554</v>
      </c>
      <c r="S106" s="109">
        <v>25313554</v>
      </c>
    </row>
    <row r="107" spans="1:19" ht="60" x14ac:dyDescent="0.25">
      <c r="A107" s="125"/>
      <c r="B107" s="125"/>
      <c r="C107" s="123"/>
      <c r="D107" s="128"/>
      <c r="E107" s="10"/>
      <c r="F107" s="10"/>
      <c r="G107" s="10"/>
      <c r="H107" s="10"/>
      <c r="I107" s="10"/>
      <c r="J107" s="10"/>
      <c r="K107" s="10" t="s">
        <v>310</v>
      </c>
      <c r="L107" s="10"/>
      <c r="M107" s="10" t="s">
        <v>311</v>
      </c>
      <c r="N107" s="113"/>
      <c r="O107" s="113"/>
      <c r="P107" s="70"/>
      <c r="Q107" s="70"/>
      <c r="R107" s="113"/>
      <c r="S107" s="113"/>
    </row>
    <row r="108" spans="1:19" ht="45" x14ac:dyDescent="0.25">
      <c r="A108" s="126"/>
      <c r="B108" s="126"/>
      <c r="C108" s="108"/>
      <c r="D108" s="129"/>
      <c r="E108" s="10"/>
      <c r="F108" s="10"/>
      <c r="G108" s="10"/>
      <c r="H108" s="10"/>
      <c r="I108" s="10"/>
      <c r="J108" s="10"/>
      <c r="K108" s="10" t="s">
        <v>31</v>
      </c>
      <c r="L108" s="10" t="s">
        <v>312</v>
      </c>
      <c r="M108" s="10" t="s">
        <v>32</v>
      </c>
      <c r="N108" s="110"/>
      <c r="O108" s="110"/>
      <c r="P108" s="69"/>
      <c r="Q108" s="69"/>
      <c r="R108" s="110"/>
      <c r="S108" s="110"/>
    </row>
    <row r="109" spans="1:19" ht="165" x14ac:dyDescent="0.25">
      <c r="A109" s="107" t="s">
        <v>55</v>
      </c>
      <c r="B109" s="124" t="s">
        <v>56</v>
      </c>
      <c r="C109" s="107">
        <v>909</v>
      </c>
      <c r="D109" s="127" t="s">
        <v>158</v>
      </c>
      <c r="E109" s="10" t="s">
        <v>22</v>
      </c>
      <c r="F109" s="10" t="s">
        <v>313</v>
      </c>
      <c r="G109" s="10" t="s">
        <v>136</v>
      </c>
      <c r="H109" s="10"/>
      <c r="I109" s="10"/>
      <c r="J109" s="10"/>
      <c r="K109" s="10" t="s">
        <v>314</v>
      </c>
      <c r="L109" s="10"/>
      <c r="M109" s="10" t="s">
        <v>102</v>
      </c>
      <c r="N109" s="109">
        <f>35737325.06-791377.13</f>
        <v>34945947.93</v>
      </c>
      <c r="O109" s="109">
        <f>35704481.69-791377.13</f>
        <v>34913104.559999995</v>
      </c>
      <c r="P109" s="68">
        <v>879430.94</v>
      </c>
      <c r="Q109" s="68">
        <v>152557</v>
      </c>
      <c r="R109" s="109">
        <v>152557</v>
      </c>
      <c r="S109" s="109">
        <v>152557</v>
      </c>
    </row>
    <row r="110" spans="1:19" ht="45" x14ac:dyDescent="0.25">
      <c r="A110" s="108"/>
      <c r="B110" s="126"/>
      <c r="C110" s="108"/>
      <c r="D110" s="129"/>
      <c r="E110" s="10"/>
      <c r="F110" s="10"/>
      <c r="G110" s="10"/>
      <c r="H110" s="10"/>
      <c r="I110" s="10"/>
      <c r="J110" s="10"/>
      <c r="K110" s="10" t="s">
        <v>31</v>
      </c>
      <c r="L110" s="10" t="s">
        <v>160</v>
      </c>
      <c r="M110" s="10" t="s">
        <v>32</v>
      </c>
      <c r="N110" s="110"/>
      <c r="O110" s="110"/>
      <c r="P110" s="69"/>
      <c r="Q110" s="69"/>
      <c r="R110" s="110"/>
      <c r="S110" s="110"/>
    </row>
    <row r="111" spans="1:19" ht="225" x14ac:dyDescent="0.25">
      <c r="A111" s="124" t="s">
        <v>316</v>
      </c>
      <c r="B111" s="124" t="s">
        <v>315</v>
      </c>
      <c r="C111" s="107">
        <v>909</v>
      </c>
      <c r="D111" s="127" t="s">
        <v>317</v>
      </c>
      <c r="E111" s="10" t="s">
        <v>22</v>
      </c>
      <c r="F111" s="10" t="s">
        <v>318</v>
      </c>
      <c r="G111" s="10" t="s">
        <v>136</v>
      </c>
      <c r="H111" s="10" t="s">
        <v>319</v>
      </c>
      <c r="I111" s="10" t="s">
        <v>74</v>
      </c>
      <c r="J111" s="10" t="s">
        <v>320</v>
      </c>
      <c r="K111" s="10" t="s">
        <v>324</v>
      </c>
      <c r="L111" s="10"/>
      <c r="M111" s="10" t="s">
        <v>325</v>
      </c>
      <c r="N111" s="109">
        <v>32677600</v>
      </c>
      <c r="O111" s="109">
        <v>32677600</v>
      </c>
      <c r="P111" s="68">
        <v>33322000</v>
      </c>
      <c r="Q111" s="68">
        <v>33322000</v>
      </c>
      <c r="R111" s="109">
        <v>33322000</v>
      </c>
      <c r="S111" s="109">
        <v>33322000</v>
      </c>
    </row>
    <row r="112" spans="1:19" ht="90" x14ac:dyDescent="0.25">
      <c r="A112" s="126"/>
      <c r="B112" s="126"/>
      <c r="C112" s="108"/>
      <c r="D112" s="129"/>
      <c r="E112" s="10"/>
      <c r="F112" s="10"/>
      <c r="G112" s="10"/>
      <c r="H112" s="10" t="s">
        <v>321</v>
      </c>
      <c r="I112" s="10" t="s">
        <v>322</v>
      </c>
      <c r="J112" s="10" t="s">
        <v>323</v>
      </c>
      <c r="K112" s="10"/>
      <c r="L112" s="10"/>
      <c r="M112" s="10"/>
      <c r="N112" s="110"/>
      <c r="O112" s="110"/>
      <c r="P112" s="69"/>
      <c r="Q112" s="69"/>
      <c r="R112" s="110"/>
      <c r="S112" s="110"/>
    </row>
    <row r="113" spans="1:19" ht="225" x14ac:dyDescent="0.25">
      <c r="A113" s="107" t="s">
        <v>326</v>
      </c>
      <c r="B113" s="124" t="s">
        <v>327</v>
      </c>
      <c r="C113" s="107">
        <v>909</v>
      </c>
      <c r="D113" s="127" t="s">
        <v>289</v>
      </c>
      <c r="E113" s="124" t="s">
        <v>22</v>
      </c>
      <c r="F113" s="107" t="s">
        <v>328</v>
      </c>
      <c r="G113" s="165" t="s">
        <v>136</v>
      </c>
      <c r="H113" s="107"/>
      <c r="I113" s="107"/>
      <c r="J113" s="107"/>
      <c r="K113" s="10" t="s">
        <v>329</v>
      </c>
      <c r="L113" s="10"/>
      <c r="M113" s="10" t="s">
        <v>325</v>
      </c>
      <c r="N113" s="109">
        <v>7255600</v>
      </c>
      <c r="O113" s="109">
        <v>7255600</v>
      </c>
      <c r="P113" s="109">
        <v>7255600</v>
      </c>
      <c r="Q113" s="109">
        <v>7255600</v>
      </c>
      <c r="R113" s="109">
        <v>7255600</v>
      </c>
      <c r="S113" s="109">
        <v>7255600</v>
      </c>
    </row>
    <row r="114" spans="1:19" ht="45" x14ac:dyDescent="0.25">
      <c r="A114" s="108"/>
      <c r="B114" s="126"/>
      <c r="C114" s="108"/>
      <c r="D114" s="129"/>
      <c r="E114" s="126"/>
      <c r="F114" s="108"/>
      <c r="G114" s="166"/>
      <c r="H114" s="108"/>
      <c r="I114" s="108"/>
      <c r="J114" s="108"/>
      <c r="K114" s="10" t="s">
        <v>31</v>
      </c>
      <c r="L114" s="10" t="s">
        <v>229</v>
      </c>
      <c r="M114" s="10" t="s">
        <v>32</v>
      </c>
      <c r="N114" s="110"/>
      <c r="O114" s="110"/>
      <c r="P114" s="110"/>
      <c r="Q114" s="110"/>
      <c r="R114" s="110"/>
      <c r="S114" s="110"/>
    </row>
    <row r="115" spans="1:19" ht="90" x14ac:dyDescent="0.25">
      <c r="A115" s="107" t="s">
        <v>405</v>
      </c>
      <c r="B115" s="124" t="s">
        <v>404</v>
      </c>
      <c r="C115" s="107">
        <v>909</v>
      </c>
      <c r="D115" s="127" t="s">
        <v>406</v>
      </c>
      <c r="E115" s="10" t="s">
        <v>22</v>
      </c>
      <c r="F115" s="10" t="s">
        <v>407</v>
      </c>
      <c r="G115" s="10" t="s">
        <v>136</v>
      </c>
      <c r="H115" s="10"/>
      <c r="I115" s="10"/>
      <c r="J115" s="10"/>
      <c r="K115" s="10" t="s">
        <v>31</v>
      </c>
      <c r="L115" s="10" t="s">
        <v>229</v>
      </c>
      <c r="M115" s="10" t="s">
        <v>32</v>
      </c>
      <c r="N115" s="109"/>
      <c r="O115" s="109"/>
      <c r="P115" s="68">
        <v>200000</v>
      </c>
      <c r="Q115" s="68">
        <v>2000000</v>
      </c>
      <c r="R115" s="109">
        <v>0</v>
      </c>
      <c r="S115" s="109">
        <v>0</v>
      </c>
    </row>
    <row r="116" spans="1:19" ht="75" x14ac:dyDescent="0.25">
      <c r="A116" s="108"/>
      <c r="B116" s="126"/>
      <c r="C116" s="108"/>
      <c r="D116" s="129"/>
      <c r="E116" s="10" t="s">
        <v>408</v>
      </c>
      <c r="F116" s="10" t="s">
        <v>409</v>
      </c>
      <c r="G116" s="10" t="s">
        <v>410</v>
      </c>
      <c r="H116" s="10"/>
      <c r="I116" s="10"/>
      <c r="J116" s="10"/>
      <c r="K116" s="10"/>
      <c r="L116" s="10"/>
      <c r="M116" s="10"/>
      <c r="N116" s="110"/>
      <c r="O116" s="110"/>
      <c r="P116" s="69"/>
      <c r="Q116" s="69"/>
      <c r="R116" s="110"/>
      <c r="S116" s="110"/>
    </row>
    <row r="117" spans="1:19" ht="120" x14ac:dyDescent="0.25">
      <c r="A117" s="107" t="s">
        <v>330</v>
      </c>
      <c r="B117" s="124" t="s">
        <v>331</v>
      </c>
      <c r="C117" s="107">
        <v>909</v>
      </c>
      <c r="D117" s="127" t="s">
        <v>528</v>
      </c>
      <c r="E117" s="124" t="s">
        <v>22</v>
      </c>
      <c r="F117" s="124" t="s">
        <v>332</v>
      </c>
      <c r="G117" s="167" t="s">
        <v>136</v>
      </c>
      <c r="H117" s="124" t="s">
        <v>333</v>
      </c>
      <c r="I117" s="124" t="s">
        <v>335</v>
      </c>
      <c r="J117" s="124" t="s">
        <v>334</v>
      </c>
      <c r="K117" s="10" t="s">
        <v>336</v>
      </c>
      <c r="L117" s="10"/>
      <c r="M117" s="10" t="s">
        <v>337</v>
      </c>
      <c r="N117" s="109">
        <f>58490+118800</f>
        <v>177290</v>
      </c>
      <c r="O117" s="109">
        <f>118800+58490</f>
        <v>177290</v>
      </c>
      <c r="P117" s="68">
        <v>120800</v>
      </c>
      <c r="Q117" s="68">
        <v>40000</v>
      </c>
      <c r="R117" s="109">
        <v>40000</v>
      </c>
      <c r="S117" s="109">
        <v>40000</v>
      </c>
    </row>
    <row r="118" spans="1:19" ht="45" x14ac:dyDescent="0.25">
      <c r="A118" s="108"/>
      <c r="B118" s="126"/>
      <c r="C118" s="108"/>
      <c r="D118" s="129"/>
      <c r="E118" s="126"/>
      <c r="F118" s="126"/>
      <c r="G118" s="168"/>
      <c r="H118" s="126"/>
      <c r="I118" s="126"/>
      <c r="J118" s="126"/>
      <c r="K118" s="10" t="s">
        <v>31</v>
      </c>
      <c r="L118" s="10" t="s">
        <v>338</v>
      </c>
      <c r="M118" s="10" t="s">
        <v>32</v>
      </c>
      <c r="N118" s="110"/>
      <c r="O118" s="110"/>
      <c r="P118" s="69"/>
      <c r="Q118" s="69"/>
      <c r="R118" s="110"/>
      <c r="S118" s="110"/>
    </row>
    <row r="119" spans="1:19" ht="120" x14ac:dyDescent="0.25">
      <c r="A119" s="107" t="s">
        <v>339</v>
      </c>
      <c r="B119" s="124" t="s">
        <v>340</v>
      </c>
      <c r="C119" s="107">
        <v>909</v>
      </c>
      <c r="D119" s="127" t="s">
        <v>341</v>
      </c>
      <c r="E119" s="10" t="s">
        <v>22</v>
      </c>
      <c r="F119" s="10" t="s">
        <v>342</v>
      </c>
      <c r="G119" s="19" t="s">
        <v>136</v>
      </c>
      <c r="H119" s="10" t="s">
        <v>346</v>
      </c>
      <c r="I119" s="10" t="s">
        <v>74</v>
      </c>
      <c r="J119" s="10" t="s">
        <v>347</v>
      </c>
      <c r="K119" s="10" t="s">
        <v>348</v>
      </c>
      <c r="L119" s="10"/>
      <c r="M119" s="10" t="s">
        <v>349</v>
      </c>
      <c r="N119" s="109">
        <v>499300</v>
      </c>
      <c r="O119" s="109">
        <v>499300</v>
      </c>
      <c r="P119" s="68">
        <v>500000</v>
      </c>
      <c r="Q119" s="68">
        <v>500000</v>
      </c>
      <c r="R119" s="109">
        <v>500000</v>
      </c>
      <c r="S119" s="109">
        <v>500000</v>
      </c>
    </row>
    <row r="120" spans="1:19" ht="60" x14ac:dyDescent="0.25">
      <c r="A120" s="108"/>
      <c r="B120" s="126"/>
      <c r="C120" s="108"/>
      <c r="D120" s="129"/>
      <c r="E120" s="10" t="s">
        <v>343</v>
      </c>
      <c r="F120" s="10" t="s">
        <v>344</v>
      </c>
      <c r="G120" s="10" t="s">
        <v>345</v>
      </c>
      <c r="H120" s="10"/>
      <c r="I120" s="10"/>
      <c r="J120" s="10"/>
      <c r="K120" s="10" t="s">
        <v>31</v>
      </c>
      <c r="L120" s="10" t="s">
        <v>350</v>
      </c>
      <c r="M120" s="10" t="s">
        <v>32</v>
      </c>
      <c r="N120" s="110"/>
      <c r="O120" s="110"/>
      <c r="P120" s="69"/>
      <c r="Q120" s="69"/>
      <c r="R120" s="110"/>
      <c r="S120" s="110"/>
    </row>
    <row r="121" spans="1:19" ht="90" x14ac:dyDescent="0.25">
      <c r="A121" s="107" t="s">
        <v>351</v>
      </c>
      <c r="B121" s="124" t="s">
        <v>352</v>
      </c>
      <c r="C121" s="107">
        <v>909</v>
      </c>
      <c r="D121" s="127" t="s">
        <v>353</v>
      </c>
      <c r="E121" s="10" t="s">
        <v>22</v>
      </c>
      <c r="F121" s="10" t="s">
        <v>354</v>
      </c>
      <c r="G121" s="19" t="s">
        <v>136</v>
      </c>
      <c r="H121" s="10" t="s">
        <v>361</v>
      </c>
      <c r="I121" s="10" t="s">
        <v>74</v>
      </c>
      <c r="J121" s="10" t="s">
        <v>362</v>
      </c>
      <c r="K121" s="10" t="s">
        <v>31</v>
      </c>
      <c r="L121" s="10" t="s">
        <v>363</v>
      </c>
      <c r="M121" s="10" t="s">
        <v>32</v>
      </c>
      <c r="N121" s="109"/>
      <c r="O121" s="109"/>
      <c r="P121" s="68">
        <v>100000</v>
      </c>
      <c r="Q121" s="68">
        <v>416193</v>
      </c>
      <c r="R121" s="111">
        <v>0</v>
      </c>
      <c r="S121" s="111">
        <v>0</v>
      </c>
    </row>
    <row r="122" spans="1:19" ht="105" x14ac:dyDescent="0.25">
      <c r="A122" s="123"/>
      <c r="B122" s="125"/>
      <c r="C122" s="123"/>
      <c r="D122" s="128"/>
      <c r="E122" s="10" t="s">
        <v>355</v>
      </c>
      <c r="F122" s="10" t="s">
        <v>356</v>
      </c>
      <c r="G122" s="10" t="s">
        <v>357</v>
      </c>
      <c r="H122" s="10"/>
      <c r="I122" s="10"/>
      <c r="J122" s="10"/>
      <c r="K122" s="10" t="s">
        <v>364</v>
      </c>
      <c r="L122" s="10"/>
      <c r="M122" s="10" t="s">
        <v>365</v>
      </c>
      <c r="N122" s="113"/>
      <c r="O122" s="113"/>
      <c r="P122" s="70"/>
      <c r="Q122" s="70"/>
      <c r="R122" s="122"/>
      <c r="S122" s="122"/>
    </row>
    <row r="123" spans="1:19" ht="120" x14ac:dyDescent="0.25">
      <c r="A123" s="108"/>
      <c r="B123" s="126"/>
      <c r="C123" s="108"/>
      <c r="D123" s="129"/>
      <c r="E123" s="10" t="s">
        <v>358</v>
      </c>
      <c r="F123" s="10" t="s">
        <v>359</v>
      </c>
      <c r="G123" s="10" t="s">
        <v>360</v>
      </c>
      <c r="H123" s="10"/>
      <c r="I123" s="10"/>
      <c r="J123" s="10"/>
      <c r="K123" s="10" t="s">
        <v>366</v>
      </c>
      <c r="L123" s="10"/>
      <c r="M123" s="10" t="s">
        <v>367</v>
      </c>
      <c r="N123" s="110"/>
      <c r="O123" s="110"/>
      <c r="P123" s="69"/>
      <c r="Q123" s="69"/>
      <c r="R123" s="112"/>
      <c r="S123" s="112"/>
    </row>
    <row r="124" spans="1:19" ht="90" x14ac:dyDescent="0.25">
      <c r="A124" s="107" t="s">
        <v>368</v>
      </c>
      <c r="B124" s="124" t="s">
        <v>369</v>
      </c>
      <c r="C124" s="107">
        <v>909</v>
      </c>
      <c r="D124" s="127" t="s">
        <v>341</v>
      </c>
      <c r="E124" s="10" t="s">
        <v>22</v>
      </c>
      <c r="F124" s="10" t="s">
        <v>370</v>
      </c>
      <c r="G124" s="10" t="s">
        <v>136</v>
      </c>
      <c r="H124" s="10"/>
      <c r="I124" s="10"/>
      <c r="J124" s="10"/>
      <c r="K124" s="10" t="s">
        <v>31</v>
      </c>
      <c r="L124" s="10" t="s">
        <v>371</v>
      </c>
      <c r="M124" s="10" t="s">
        <v>32</v>
      </c>
      <c r="N124" s="109">
        <f>91231801.79-499300-58490+99826.58+791377.13</f>
        <v>91565215.5</v>
      </c>
      <c r="O124" s="109">
        <f>91231664.02-499300-58490+99826.58+791377.13</f>
        <v>91565077.729999989</v>
      </c>
      <c r="P124" s="71">
        <f>1479866.89+84246037-500000</f>
        <v>85225903.890000001</v>
      </c>
      <c r="Q124" s="71">
        <f>42813807-500000</f>
        <v>42313807</v>
      </c>
      <c r="R124" s="111">
        <f>41270000-500000</f>
        <v>40770000</v>
      </c>
      <c r="S124" s="111">
        <f>41270000-500000</f>
        <v>40770000</v>
      </c>
    </row>
    <row r="125" spans="1:19" ht="90" x14ac:dyDescent="0.25">
      <c r="A125" s="123"/>
      <c r="B125" s="125"/>
      <c r="C125" s="123"/>
      <c r="D125" s="128"/>
      <c r="E125" s="10"/>
      <c r="F125" s="10"/>
      <c r="G125" s="10"/>
      <c r="H125" s="10"/>
      <c r="I125" s="10"/>
      <c r="J125" s="10"/>
      <c r="K125" s="10" t="s">
        <v>372</v>
      </c>
      <c r="L125" s="10"/>
      <c r="M125" s="10" t="s">
        <v>373</v>
      </c>
      <c r="N125" s="113"/>
      <c r="O125" s="113"/>
      <c r="P125" s="72"/>
      <c r="Q125" s="72"/>
      <c r="R125" s="122"/>
      <c r="S125" s="122"/>
    </row>
    <row r="126" spans="1:19" ht="180" x14ac:dyDescent="0.25">
      <c r="A126" s="108"/>
      <c r="B126" s="126"/>
      <c r="C126" s="108"/>
      <c r="D126" s="129"/>
      <c r="E126" s="10"/>
      <c r="F126" s="10"/>
      <c r="G126" s="10"/>
      <c r="H126" s="10"/>
      <c r="I126" s="10"/>
      <c r="J126" s="10"/>
      <c r="K126" s="10" t="s">
        <v>374</v>
      </c>
      <c r="L126" s="10"/>
      <c r="M126" s="10" t="s">
        <v>375</v>
      </c>
      <c r="N126" s="110"/>
      <c r="O126" s="110"/>
      <c r="P126" s="73"/>
      <c r="Q126" s="73"/>
      <c r="R126" s="112"/>
      <c r="S126" s="112"/>
    </row>
    <row r="127" spans="1:19" s="24" customFormat="1" ht="156.75" x14ac:dyDescent="0.2">
      <c r="A127" s="18" t="s">
        <v>82</v>
      </c>
      <c r="B127" s="18" t="s">
        <v>81</v>
      </c>
      <c r="C127" s="18"/>
      <c r="D127" s="27"/>
      <c r="E127" s="18"/>
      <c r="F127" s="18"/>
      <c r="G127" s="18"/>
      <c r="H127" s="18"/>
      <c r="I127" s="18"/>
      <c r="J127" s="18"/>
      <c r="K127" s="18"/>
      <c r="L127" s="18"/>
      <c r="M127" s="18"/>
      <c r="N127" s="51">
        <f t="shared" ref="N127:S127" si="18">N128+N129</f>
        <v>106687100</v>
      </c>
      <c r="O127" s="51">
        <f t="shared" si="18"/>
        <v>91307897</v>
      </c>
      <c r="P127" s="51">
        <f t="shared" si="18"/>
        <v>97115400</v>
      </c>
      <c r="Q127" s="51">
        <f t="shared" si="18"/>
        <v>97115400</v>
      </c>
      <c r="R127" s="51">
        <f t="shared" si="18"/>
        <v>97115400</v>
      </c>
      <c r="S127" s="51">
        <f t="shared" si="18"/>
        <v>97115400</v>
      </c>
    </row>
    <row r="128" spans="1:19" ht="255" x14ac:dyDescent="0.25">
      <c r="A128" s="10" t="s">
        <v>376</v>
      </c>
      <c r="B128" s="10" t="s">
        <v>377</v>
      </c>
      <c r="C128" s="12">
        <v>909</v>
      </c>
      <c r="D128" s="22" t="s">
        <v>289</v>
      </c>
      <c r="E128" s="10" t="s">
        <v>97</v>
      </c>
      <c r="F128" s="10" t="s">
        <v>378</v>
      </c>
      <c r="G128" s="10" t="s">
        <v>99</v>
      </c>
      <c r="H128" s="10" t="s">
        <v>379</v>
      </c>
      <c r="I128" s="10" t="s">
        <v>74</v>
      </c>
      <c r="J128" s="10" t="s">
        <v>380</v>
      </c>
      <c r="K128" s="10" t="s">
        <v>381</v>
      </c>
      <c r="L128" s="10"/>
      <c r="M128" s="10" t="s">
        <v>382</v>
      </c>
      <c r="N128" s="50">
        <v>105672200</v>
      </c>
      <c r="O128" s="50">
        <v>90293531.599999994</v>
      </c>
      <c r="P128" s="50">
        <v>95899100</v>
      </c>
      <c r="Q128" s="50">
        <v>95899100</v>
      </c>
      <c r="R128" s="50">
        <v>95899100</v>
      </c>
      <c r="S128" s="50">
        <v>95899100</v>
      </c>
    </row>
    <row r="129" spans="1:19" ht="255" x14ac:dyDescent="0.25">
      <c r="A129" s="10" t="s">
        <v>383</v>
      </c>
      <c r="B129" s="10" t="s">
        <v>384</v>
      </c>
      <c r="C129" s="12">
        <v>909</v>
      </c>
      <c r="D129" s="22" t="s">
        <v>68</v>
      </c>
      <c r="E129" s="10" t="s">
        <v>97</v>
      </c>
      <c r="F129" s="10" t="s">
        <v>385</v>
      </c>
      <c r="G129" s="10" t="s">
        <v>99</v>
      </c>
      <c r="H129" s="10" t="s">
        <v>386</v>
      </c>
      <c r="I129" s="10" t="s">
        <v>74</v>
      </c>
      <c r="J129" s="10" t="s">
        <v>387</v>
      </c>
      <c r="K129" s="10" t="s">
        <v>388</v>
      </c>
      <c r="L129" s="10"/>
      <c r="M129" s="10" t="s">
        <v>389</v>
      </c>
      <c r="N129" s="50">
        <v>1014900</v>
      </c>
      <c r="O129" s="50">
        <v>1014365.4</v>
      </c>
      <c r="P129" s="50">
        <v>1216300</v>
      </c>
      <c r="Q129" s="50">
        <v>1216300</v>
      </c>
      <c r="R129" s="50">
        <v>1216300</v>
      </c>
      <c r="S129" s="50">
        <v>1216300</v>
      </c>
    </row>
    <row r="130" spans="1:19" s="24" customFormat="1" ht="57" x14ac:dyDescent="0.2">
      <c r="A130" s="35"/>
      <c r="B130" s="35" t="s">
        <v>390</v>
      </c>
      <c r="C130" s="36">
        <v>911</v>
      </c>
      <c r="D130" s="37"/>
      <c r="E130" s="35"/>
      <c r="F130" s="35"/>
      <c r="G130" s="35"/>
      <c r="H130" s="35"/>
      <c r="I130" s="35"/>
      <c r="J130" s="35"/>
      <c r="K130" s="35"/>
      <c r="L130" s="35"/>
      <c r="M130" s="35"/>
      <c r="N130" s="56">
        <f>N131</f>
        <v>92104369</v>
      </c>
      <c r="O130" s="56">
        <f t="shared" ref="O130:S130" si="19">O131</f>
        <v>89914756.199999988</v>
      </c>
      <c r="P130" s="56">
        <f t="shared" si="19"/>
        <v>104148008</v>
      </c>
      <c r="Q130" s="56">
        <f t="shared" si="19"/>
        <v>93872373</v>
      </c>
      <c r="R130" s="56">
        <f t="shared" si="19"/>
        <v>92704578</v>
      </c>
      <c r="S130" s="56">
        <f t="shared" si="19"/>
        <v>92704578</v>
      </c>
    </row>
    <row r="131" spans="1:19" s="24" customFormat="1" ht="99.75" x14ac:dyDescent="0.2">
      <c r="A131" s="23" t="s">
        <v>84</v>
      </c>
      <c r="B131" s="18" t="s">
        <v>83</v>
      </c>
      <c r="C131" s="18"/>
      <c r="D131" s="27"/>
      <c r="E131" s="18"/>
      <c r="F131" s="18"/>
      <c r="G131" s="18"/>
      <c r="H131" s="18"/>
      <c r="I131" s="18"/>
      <c r="J131" s="18"/>
      <c r="K131" s="18"/>
      <c r="L131" s="18"/>
      <c r="M131" s="18"/>
      <c r="N131" s="51">
        <f t="shared" ref="N131:S131" si="20">SUM(N132:N143)</f>
        <v>92104369</v>
      </c>
      <c r="O131" s="51">
        <f t="shared" si="20"/>
        <v>89914756.199999988</v>
      </c>
      <c r="P131" s="51">
        <f t="shared" si="20"/>
        <v>104148008</v>
      </c>
      <c r="Q131" s="51">
        <f t="shared" si="20"/>
        <v>93872373</v>
      </c>
      <c r="R131" s="51">
        <f t="shared" si="20"/>
        <v>92704578</v>
      </c>
      <c r="S131" s="51">
        <f t="shared" si="20"/>
        <v>92704578</v>
      </c>
    </row>
    <row r="132" spans="1:19" ht="105" x14ac:dyDescent="0.25">
      <c r="A132" s="107" t="s">
        <v>18</v>
      </c>
      <c r="B132" s="124" t="s">
        <v>19</v>
      </c>
      <c r="C132" s="107">
        <v>911</v>
      </c>
      <c r="D132" s="127" t="s">
        <v>391</v>
      </c>
      <c r="E132" s="10" t="s">
        <v>22</v>
      </c>
      <c r="F132" s="10" t="s">
        <v>36</v>
      </c>
      <c r="G132" s="9" t="s">
        <v>23</v>
      </c>
      <c r="H132" s="10" t="s">
        <v>26</v>
      </c>
      <c r="I132" s="11" t="s">
        <v>27</v>
      </c>
      <c r="J132" s="9" t="s">
        <v>28</v>
      </c>
      <c r="K132" s="10" t="s">
        <v>31</v>
      </c>
      <c r="L132" s="4"/>
      <c r="M132" s="10" t="s">
        <v>32</v>
      </c>
      <c r="N132" s="109">
        <v>2569897</v>
      </c>
      <c r="O132" s="109">
        <v>2473956.52</v>
      </c>
      <c r="P132" s="68">
        <v>2713290</v>
      </c>
      <c r="Q132" s="68">
        <v>2509022</v>
      </c>
      <c r="R132" s="109">
        <v>2468241</v>
      </c>
      <c r="S132" s="109">
        <v>2468241</v>
      </c>
    </row>
    <row r="133" spans="1:19" ht="285" x14ac:dyDescent="0.25">
      <c r="A133" s="108"/>
      <c r="B133" s="126"/>
      <c r="C133" s="108"/>
      <c r="D133" s="129"/>
      <c r="E133" s="9" t="s">
        <v>24</v>
      </c>
      <c r="F133" s="7" t="s">
        <v>27</v>
      </c>
      <c r="G133" s="9" t="s">
        <v>25</v>
      </c>
      <c r="H133" s="10" t="s">
        <v>29</v>
      </c>
      <c r="I133" s="11" t="s">
        <v>27</v>
      </c>
      <c r="J133" s="10" t="s">
        <v>30</v>
      </c>
      <c r="K133" s="10" t="s">
        <v>392</v>
      </c>
      <c r="L133" s="11"/>
      <c r="M133" s="10" t="s">
        <v>393</v>
      </c>
      <c r="N133" s="110"/>
      <c r="O133" s="110"/>
      <c r="P133" s="69"/>
      <c r="Q133" s="69"/>
      <c r="R133" s="110"/>
      <c r="S133" s="110"/>
    </row>
    <row r="134" spans="1:19" ht="94.5" customHeight="1" x14ac:dyDescent="0.25">
      <c r="A134" s="10" t="s">
        <v>38</v>
      </c>
      <c r="B134" s="10" t="s">
        <v>39</v>
      </c>
      <c r="C134" s="107">
        <v>911</v>
      </c>
      <c r="D134" s="127" t="s">
        <v>391</v>
      </c>
      <c r="E134" s="124" t="s">
        <v>22</v>
      </c>
      <c r="F134" s="124" t="s">
        <v>41</v>
      </c>
      <c r="G134" s="124" t="s">
        <v>23</v>
      </c>
      <c r="H134" s="169"/>
      <c r="I134" s="107"/>
      <c r="J134" s="107"/>
      <c r="K134" s="10" t="s">
        <v>31</v>
      </c>
      <c r="L134" s="4"/>
      <c r="M134" s="10" t="s">
        <v>32</v>
      </c>
      <c r="N134" s="109">
        <v>12608420</v>
      </c>
      <c r="O134" s="109">
        <v>12581519.98</v>
      </c>
      <c r="P134" s="68">
        <v>23811971</v>
      </c>
      <c r="Q134" s="68">
        <v>22919306</v>
      </c>
      <c r="R134" s="109">
        <v>22787306</v>
      </c>
      <c r="S134" s="109">
        <v>22787306</v>
      </c>
    </row>
    <row r="135" spans="1:19" ht="60" x14ac:dyDescent="0.25">
      <c r="A135" s="34"/>
      <c r="B135" s="34"/>
      <c r="C135" s="108"/>
      <c r="D135" s="129"/>
      <c r="E135" s="126"/>
      <c r="F135" s="126"/>
      <c r="G135" s="126"/>
      <c r="H135" s="170"/>
      <c r="I135" s="108"/>
      <c r="J135" s="108"/>
      <c r="K135" s="10" t="s">
        <v>511</v>
      </c>
      <c r="L135" s="4"/>
      <c r="M135" s="10" t="s">
        <v>512</v>
      </c>
      <c r="N135" s="110"/>
      <c r="O135" s="110"/>
      <c r="P135" s="69"/>
      <c r="Q135" s="69"/>
      <c r="R135" s="110"/>
      <c r="S135" s="110"/>
    </row>
    <row r="136" spans="1:19" ht="98.25" customHeight="1" x14ac:dyDescent="0.25">
      <c r="A136" s="107" t="s">
        <v>220</v>
      </c>
      <c r="B136" s="124" t="s">
        <v>219</v>
      </c>
      <c r="C136" s="107">
        <v>911</v>
      </c>
      <c r="D136" s="127" t="s">
        <v>394</v>
      </c>
      <c r="E136" s="10" t="s">
        <v>22</v>
      </c>
      <c r="F136" s="10" t="s">
        <v>222</v>
      </c>
      <c r="G136" s="10" t="s">
        <v>136</v>
      </c>
      <c r="H136" s="10" t="s">
        <v>225</v>
      </c>
      <c r="I136" s="10" t="s">
        <v>74</v>
      </c>
      <c r="J136" s="10" t="s">
        <v>226</v>
      </c>
      <c r="K136" s="10" t="s">
        <v>31</v>
      </c>
      <c r="L136" s="10" t="s">
        <v>229</v>
      </c>
      <c r="M136" s="10" t="s">
        <v>32</v>
      </c>
      <c r="N136" s="109">
        <v>44781393.340000004</v>
      </c>
      <c r="O136" s="109">
        <v>44104272.219999999</v>
      </c>
      <c r="P136" s="109"/>
      <c r="Q136" s="109"/>
      <c r="R136" s="109"/>
      <c r="S136" s="109"/>
    </row>
    <row r="137" spans="1:19" ht="145.5" customHeight="1" x14ac:dyDescent="0.25">
      <c r="A137" s="123"/>
      <c r="B137" s="125"/>
      <c r="C137" s="123"/>
      <c r="D137" s="128"/>
      <c r="E137" s="10"/>
      <c r="F137" s="10"/>
      <c r="G137" s="10"/>
      <c r="H137" s="10"/>
      <c r="I137" s="10"/>
      <c r="J137" s="10"/>
      <c r="K137" s="10" t="s">
        <v>515</v>
      </c>
      <c r="L137" s="10"/>
      <c r="M137" s="10" t="s">
        <v>516</v>
      </c>
      <c r="N137" s="113"/>
      <c r="O137" s="113"/>
      <c r="P137" s="113"/>
      <c r="Q137" s="113"/>
      <c r="R137" s="113"/>
      <c r="S137" s="113"/>
    </row>
    <row r="138" spans="1:19" ht="246.75" customHeight="1" x14ac:dyDescent="0.25">
      <c r="A138" s="108"/>
      <c r="B138" s="126"/>
      <c r="C138" s="108"/>
      <c r="D138" s="129"/>
      <c r="E138" s="10"/>
      <c r="F138" s="10"/>
      <c r="G138" s="10"/>
      <c r="H138" s="10"/>
      <c r="I138" s="10"/>
      <c r="J138" s="10"/>
      <c r="K138" s="10" t="s">
        <v>505</v>
      </c>
      <c r="L138" s="10"/>
      <c r="M138" s="10" t="s">
        <v>506</v>
      </c>
      <c r="N138" s="110"/>
      <c r="O138" s="110"/>
      <c r="P138" s="110"/>
      <c r="Q138" s="110"/>
      <c r="R138" s="110"/>
      <c r="S138" s="110"/>
    </row>
    <row r="139" spans="1:19" ht="90" x14ac:dyDescent="0.25">
      <c r="A139" s="107" t="s">
        <v>405</v>
      </c>
      <c r="B139" s="124" t="s">
        <v>404</v>
      </c>
      <c r="C139" s="107">
        <v>911</v>
      </c>
      <c r="D139" s="127" t="s">
        <v>406</v>
      </c>
      <c r="E139" s="10" t="s">
        <v>22</v>
      </c>
      <c r="F139" s="10" t="s">
        <v>407</v>
      </c>
      <c r="G139" s="10" t="s">
        <v>136</v>
      </c>
      <c r="H139" s="10"/>
      <c r="I139" s="10"/>
      <c r="J139" s="10"/>
      <c r="K139" s="10" t="s">
        <v>31</v>
      </c>
      <c r="L139" s="10" t="s">
        <v>229</v>
      </c>
      <c r="M139" s="10" t="s">
        <v>32</v>
      </c>
      <c r="N139" s="109">
        <v>20270574</v>
      </c>
      <c r="O139" s="109">
        <v>19982586.41</v>
      </c>
      <c r="P139" s="68">
        <v>63401572</v>
      </c>
      <c r="Q139" s="68">
        <f>18702898+38498287</f>
        <v>57201185</v>
      </c>
      <c r="R139" s="109">
        <f>37996905+18274498</f>
        <v>56271403</v>
      </c>
      <c r="S139" s="109">
        <f>37996905+18274498</f>
        <v>56271403</v>
      </c>
    </row>
    <row r="140" spans="1:19" ht="165" x14ac:dyDescent="0.25">
      <c r="A140" s="108"/>
      <c r="B140" s="126"/>
      <c r="C140" s="108"/>
      <c r="D140" s="129"/>
      <c r="E140" s="10" t="s">
        <v>408</v>
      </c>
      <c r="F140" s="10" t="s">
        <v>409</v>
      </c>
      <c r="G140" s="10" t="s">
        <v>410</v>
      </c>
      <c r="H140" s="10"/>
      <c r="I140" s="10"/>
      <c r="J140" s="10"/>
      <c r="K140" s="10" t="s">
        <v>507</v>
      </c>
      <c r="L140" s="10"/>
      <c r="M140" s="10" t="s">
        <v>508</v>
      </c>
      <c r="N140" s="110"/>
      <c r="O140" s="110"/>
      <c r="P140" s="69"/>
      <c r="Q140" s="69"/>
      <c r="R140" s="110"/>
      <c r="S140" s="110"/>
    </row>
    <row r="141" spans="1:19" ht="90" x14ac:dyDescent="0.25">
      <c r="A141" s="107" t="s">
        <v>396</v>
      </c>
      <c r="B141" s="107" t="s">
        <v>395</v>
      </c>
      <c r="C141" s="107">
        <v>911</v>
      </c>
      <c r="D141" s="127" t="s">
        <v>397</v>
      </c>
      <c r="E141" s="124" t="s">
        <v>22</v>
      </c>
      <c r="F141" s="124" t="s">
        <v>398</v>
      </c>
      <c r="G141" s="124" t="s">
        <v>136</v>
      </c>
      <c r="H141" s="10" t="s">
        <v>399</v>
      </c>
      <c r="I141" s="10" t="s">
        <v>400</v>
      </c>
      <c r="J141" s="10" t="s">
        <v>401</v>
      </c>
      <c r="K141" s="10" t="s">
        <v>31</v>
      </c>
      <c r="L141" s="10" t="s">
        <v>229</v>
      </c>
      <c r="M141" s="10" t="s">
        <v>32</v>
      </c>
      <c r="N141" s="109">
        <v>11874084.66</v>
      </c>
      <c r="O141" s="109">
        <v>10772421.07</v>
      </c>
      <c r="P141" s="68">
        <v>14221175</v>
      </c>
      <c r="Q141" s="68">
        <v>11242860</v>
      </c>
      <c r="R141" s="109">
        <v>11177628</v>
      </c>
      <c r="S141" s="109">
        <v>11177628</v>
      </c>
    </row>
    <row r="142" spans="1:19" ht="30" x14ac:dyDescent="0.25">
      <c r="A142" s="123"/>
      <c r="B142" s="123"/>
      <c r="C142" s="123"/>
      <c r="D142" s="128"/>
      <c r="E142" s="125"/>
      <c r="F142" s="125"/>
      <c r="G142" s="125"/>
      <c r="H142" s="10"/>
      <c r="I142" s="10"/>
      <c r="J142" s="10"/>
      <c r="K142" s="28" t="s">
        <v>514</v>
      </c>
      <c r="L142" s="10"/>
      <c r="M142" s="10" t="s">
        <v>513</v>
      </c>
      <c r="N142" s="113"/>
      <c r="O142" s="113"/>
      <c r="P142" s="70"/>
      <c r="Q142" s="70"/>
      <c r="R142" s="113"/>
      <c r="S142" s="113"/>
    </row>
    <row r="143" spans="1:19" ht="105" x14ac:dyDescent="0.25">
      <c r="A143" s="123"/>
      <c r="B143" s="123"/>
      <c r="C143" s="123"/>
      <c r="D143" s="128"/>
      <c r="E143" s="126"/>
      <c r="F143" s="126"/>
      <c r="G143" s="126"/>
      <c r="H143" s="10"/>
      <c r="I143" s="10"/>
      <c r="J143" s="10"/>
      <c r="K143" s="10" t="s">
        <v>402</v>
      </c>
      <c r="L143" s="10"/>
      <c r="M143" s="10" t="s">
        <v>403</v>
      </c>
      <c r="N143" s="110"/>
      <c r="O143" s="110"/>
      <c r="P143" s="69"/>
      <c r="Q143" s="69"/>
      <c r="R143" s="110"/>
      <c r="S143" s="110"/>
    </row>
    <row r="144" spans="1:19" s="24" customFormat="1" ht="28.5" x14ac:dyDescent="0.2">
      <c r="A144" s="38"/>
      <c r="B144" s="38" t="s">
        <v>411</v>
      </c>
      <c r="C144" s="39">
        <v>915</v>
      </c>
      <c r="D144" s="40"/>
      <c r="E144" s="38"/>
      <c r="F144" s="38"/>
      <c r="G144" s="38"/>
      <c r="H144" s="38"/>
      <c r="I144" s="38"/>
      <c r="J144" s="38"/>
      <c r="K144" s="38"/>
      <c r="L144" s="38"/>
      <c r="M144" s="38"/>
      <c r="N144" s="52">
        <f>N145</f>
        <v>112365195.17000002</v>
      </c>
      <c r="O144" s="52">
        <f t="shared" ref="O144:S144" si="21">O145</f>
        <v>111873107.09999999</v>
      </c>
      <c r="P144" s="52">
        <f t="shared" si="21"/>
        <v>100741837</v>
      </c>
      <c r="Q144" s="52">
        <f t="shared" si="21"/>
        <v>85196387</v>
      </c>
      <c r="R144" s="52">
        <f t="shared" si="21"/>
        <v>84116782</v>
      </c>
      <c r="S144" s="52">
        <f t="shared" si="21"/>
        <v>83956482</v>
      </c>
    </row>
    <row r="145" spans="1:19" s="24" customFormat="1" ht="99.75" x14ac:dyDescent="0.2">
      <c r="A145" s="23" t="s">
        <v>84</v>
      </c>
      <c r="B145" s="18" t="s">
        <v>83</v>
      </c>
      <c r="C145" s="18"/>
      <c r="D145" s="27"/>
      <c r="E145" s="18"/>
      <c r="F145" s="18"/>
      <c r="G145" s="18"/>
      <c r="H145" s="18"/>
      <c r="I145" s="18"/>
      <c r="J145" s="18"/>
      <c r="K145" s="18"/>
      <c r="L145" s="18"/>
      <c r="M145" s="18"/>
      <c r="N145" s="51">
        <f>N146+N148+N150+N154</f>
        <v>112365195.17000002</v>
      </c>
      <c r="O145" s="51">
        <f t="shared" ref="O145:S145" si="22">O146+O148+O150+O154</f>
        <v>111873107.09999999</v>
      </c>
      <c r="P145" s="51">
        <f t="shared" si="22"/>
        <v>100741837</v>
      </c>
      <c r="Q145" s="51">
        <f t="shared" si="22"/>
        <v>85196387</v>
      </c>
      <c r="R145" s="51">
        <f t="shared" si="22"/>
        <v>84116782</v>
      </c>
      <c r="S145" s="51">
        <f t="shared" si="22"/>
        <v>83956482</v>
      </c>
    </row>
    <row r="146" spans="1:19" ht="105" x14ac:dyDescent="0.25">
      <c r="A146" s="124" t="s">
        <v>18</v>
      </c>
      <c r="B146" s="124" t="s">
        <v>19</v>
      </c>
      <c r="C146" s="107">
        <v>915</v>
      </c>
      <c r="D146" s="127" t="s">
        <v>412</v>
      </c>
      <c r="E146" s="10" t="s">
        <v>22</v>
      </c>
      <c r="F146" s="10" t="s">
        <v>36</v>
      </c>
      <c r="G146" s="9" t="s">
        <v>23</v>
      </c>
      <c r="H146" s="10" t="s">
        <v>26</v>
      </c>
      <c r="I146" s="11" t="s">
        <v>27</v>
      </c>
      <c r="J146" s="9" t="s">
        <v>28</v>
      </c>
      <c r="K146" s="10" t="s">
        <v>31</v>
      </c>
      <c r="L146" s="4"/>
      <c r="M146" s="10" t="s">
        <v>32</v>
      </c>
      <c r="N146" s="171">
        <v>1686452.67</v>
      </c>
      <c r="O146" s="171">
        <v>1676801.04</v>
      </c>
      <c r="P146" s="74">
        <v>2620181</v>
      </c>
      <c r="Q146" s="74">
        <v>2390096</v>
      </c>
      <c r="R146" s="171">
        <v>2390096</v>
      </c>
      <c r="S146" s="171">
        <v>2390096</v>
      </c>
    </row>
    <row r="147" spans="1:19" ht="285" x14ac:dyDescent="0.25">
      <c r="A147" s="126"/>
      <c r="B147" s="126"/>
      <c r="C147" s="108"/>
      <c r="D147" s="129"/>
      <c r="E147" s="9" t="s">
        <v>24</v>
      </c>
      <c r="F147" s="7" t="s">
        <v>27</v>
      </c>
      <c r="G147" s="9" t="s">
        <v>25</v>
      </c>
      <c r="H147" s="10" t="s">
        <v>29</v>
      </c>
      <c r="I147" s="11" t="s">
        <v>27</v>
      </c>
      <c r="J147" s="10" t="s">
        <v>30</v>
      </c>
      <c r="K147" s="10" t="s">
        <v>413</v>
      </c>
      <c r="L147" s="11"/>
      <c r="M147" s="10" t="s">
        <v>393</v>
      </c>
      <c r="N147" s="172"/>
      <c r="O147" s="172"/>
      <c r="P147" s="75"/>
      <c r="Q147" s="75"/>
      <c r="R147" s="172"/>
      <c r="S147" s="172"/>
    </row>
    <row r="148" spans="1:19" ht="364.5" customHeight="1" x14ac:dyDescent="0.25">
      <c r="A148" s="124" t="s">
        <v>220</v>
      </c>
      <c r="B148" s="124" t="s">
        <v>219</v>
      </c>
      <c r="C148" s="107">
        <v>915</v>
      </c>
      <c r="D148" s="127" t="s">
        <v>394</v>
      </c>
      <c r="E148" s="10" t="s">
        <v>22</v>
      </c>
      <c r="F148" s="10" t="s">
        <v>222</v>
      </c>
      <c r="G148" s="10" t="s">
        <v>136</v>
      </c>
      <c r="H148" s="10" t="s">
        <v>225</v>
      </c>
      <c r="I148" s="10" t="s">
        <v>74</v>
      </c>
      <c r="J148" s="10" t="s">
        <v>226</v>
      </c>
      <c r="K148" s="10" t="s">
        <v>31</v>
      </c>
      <c r="L148" s="10" t="s">
        <v>229</v>
      </c>
      <c r="M148" s="10" t="s">
        <v>32</v>
      </c>
      <c r="N148" s="109">
        <v>40993034.390000001</v>
      </c>
      <c r="O148" s="109">
        <v>40548087.619999997</v>
      </c>
      <c r="P148" s="68">
        <v>37026816</v>
      </c>
      <c r="Q148" s="68">
        <v>33883828</v>
      </c>
      <c r="R148" s="109">
        <v>33883828</v>
      </c>
      <c r="S148" s="109">
        <v>33883828</v>
      </c>
    </row>
    <row r="149" spans="1:19" ht="120" x14ac:dyDescent="0.25">
      <c r="A149" s="126"/>
      <c r="B149" s="126"/>
      <c r="C149" s="108"/>
      <c r="D149" s="129"/>
      <c r="E149" s="10"/>
      <c r="F149" s="10"/>
      <c r="G149" s="10"/>
      <c r="H149" s="10"/>
      <c r="I149" s="10"/>
      <c r="J149" s="10"/>
      <c r="K149" s="10" t="s">
        <v>509</v>
      </c>
      <c r="L149" s="10"/>
      <c r="M149" s="10" t="s">
        <v>510</v>
      </c>
      <c r="N149" s="110"/>
      <c r="O149" s="110"/>
      <c r="P149" s="69"/>
      <c r="Q149" s="69"/>
      <c r="R149" s="110"/>
      <c r="S149" s="110"/>
    </row>
    <row r="150" spans="1:19" ht="165" x14ac:dyDescent="0.25">
      <c r="A150" s="107" t="s">
        <v>415</v>
      </c>
      <c r="B150" s="124" t="s">
        <v>414</v>
      </c>
      <c r="C150" s="107">
        <v>915</v>
      </c>
      <c r="D150" s="127" t="s">
        <v>416</v>
      </c>
      <c r="E150" s="10" t="s">
        <v>22</v>
      </c>
      <c r="F150" s="10" t="s">
        <v>417</v>
      </c>
      <c r="G150" s="10" t="s">
        <v>136</v>
      </c>
      <c r="H150" s="10" t="s">
        <v>423</v>
      </c>
      <c r="I150" s="10" t="s">
        <v>409</v>
      </c>
      <c r="J150" s="10" t="s">
        <v>424</v>
      </c>
      <c r="K150" s="10" t="s">
        <v>425</v>
      </c>
      <c r="L150" s="10"/>
      <c r="M150" s="10" t="s">
        <v>426</v>
      </c>
      <c r="N150" s="109">
        <v>30980934.149999999</v>
      </c>
      <c r="O150" s="109">
        <v>30964877.800000001</v>
      </c>
      <c r="P150" s="68">
        <v>27679888</v>
      </c>
      <c r="Q150" s="68">
        <v>21957801</v>
      </c>
      <c r="R150" s="109">
        <v>21657801</v>
      </c>
      <c r="S150" s="109">
        <v>21657801</v>
      </c>
    </row>
    <row r="151" spans="1:19" ht="135" x14ac:dyDescent="0.25">
      <c r="A151" s="123"/>
      <c r="B151" s="125"/>
      <c r="C151" s="123"/>
      <c r="D151" s="128"/>
      <c r="E151" s="10" t="s">
        <v>418</v>
      </c>
      <c r="F151" s="10" t="s">
        <v>74</v>
      </c>
      <c r="G151" s="10" t="s">
        <v>419</v>
      </c>
      <c r="H151" s="10"/>
      <c r="I151" s="10"/>
      <c r="J151" s="10"/>
      <c r="K151" s="10" t="s">
        <v>427</v>
      </c>
      <c r="L151" s="10"/>
      <c r="M151" s="10" t="s">
        <v>426</v>
      </c>
      <c r="N151" s="113"/>
      <c r="O151" s="113"/>
      <c r="P151" s="70"/>
      <c r="Q151" s="70"/>
      <c r="R151" s="113"/>
      <c r="S151" s="113"/>
    </row>
    <row r="152" spans="1:19" ht="120" x14ac:dyDescent="0.25">
      <c r="A152" s="123"/>
      <c r="B152" s="125"/>
      <c r="C152" s="123"/>
      <c r="D152" s="128"/>
      <c r="E152" s="10" t="s">
        <v>420</v>
      </c>
      <c r="F152" s="10" t="s">
        <v>422</v>
      </c>
      <c r="G152" s="10" t="s">
        <v>421</v>
      </c>
      <c r="H152" s="10"/>
      <c r="I152" s="10"/>
      <c r="J152" s="10"/>
      <c r="K152" s="10" t="s">
        <v>428</v>
      </c>
      <c r="L152" s="10"/>
      <c r="M152" s="10" t="s">
        <v>429</v>
      </c>
      <c r="N152" s="113"/>
      <c r="O152" s="113"/>
      <c r="P152" s="70"/>
      <c r="Q152" s="70"/>
      <c r="R152" s="113"/>
      <c r="S152" s="113"/>
    </row>
    <row r="153" spans="1:19" ht="90" x14ac:dyDescent="0.25">
      <c r="A153" s="108"/>
      <c r="B153" s="126"/>
      <c r="C153" s="108"/>
      <c r="D153" s="129"/>
      <c r="E153" s="10"/>
      <c r="F153" s="10"/>
      <c r="G153" s="10"/>
      <c r="H153" s="10"/>
      <c r="I153" s="10"/>
      <c r="J153" s="10"/>
      <c r="K153" s="10" t="s">
        <v>430</v>
      </c>
      <c r="L153" s="10"/>
      <c r="M153" s="10" t="s">
        <v>431</v>
      </c>
      <c r="N153" s="110"/>
      <c r="O153" s="110"/>
      <c r="P153" s="69"/>
      <c r="Q153" s="69"/>
      <c r="R153" s="110"/>
      <c r="S153" s="110"/>
    </row>
    <row r="154" spans="1:19" ht="105" x14ac:dyDescent="0.25">
      <c r="A154" s="107" t="s">
        <v>432</v>
      </c>
      <c r="B154" s="124" t="s">
        <v>433</v>
      </c>
      <c r="C154" s="107">
        <v>915</v>
      </c>
      <c r="D154" s="127" t="s">
        <v>416</v>
      </c>
      <c r="E154" s="10" t="s">
        <v>22</v>
      </c>
      <c r="F154" s="10" t="s">
        <v>434</v>
      </c>
      <c r="G154" s="10" t="s">
        <v>136</v>
      </c>
      <c r="H154" s="10" t="s">
        <v>333</v>
      </c>
      <c r="I154" s="10" t="s">
        <v>438</v>
      </c>
      <c r="J154" s="10" t="s">
        <v>334</v>
      </c>
      <c r="K154" s="10" t="s">
        <v>439</v>
      </c>
      <c r="L154" s="10"/>
      <c r="M154" s="10" t="s">
        <v>426</v>
      </c>
      <c r="N154" s="109">
        <f>69685708.11-30980934.15</f>
        <v>38704773.960000001</v>
      </c>
      <c r="O154" s="109">
        <f>69648218.44-30964877.8</f>
        <v>38683340.640000001</v>
      </c>
      <c r="P154" s="68">
        <v>33414952</v>
      </c>
      <c r="Q154" s="68">
        <f>26804362+160300</f>
        <v>26964662</v>
      </c>
      <c r="R154" s="109">
        <f>26024757+160300</f>
        <v>26185057</v>
      </c>
      <c r="S154" s="109">
        <v>26024757</v>
      </c>
    </row>
    <row r="155" spans="1:19" ht="150" x14ac:dyDescent="0.25">
      <c r="A155" s="123"/>
      <c r="B155" s="125"/>
      <c r="C155" s="123"/>
      <c r="D155" s="128"/>
      <c r="E155" s="10" t="s">
        <v>435</v>
      </c>
      <c r="F155" s="10" t="s">
        <v>436</v>
      </c>
      <c r="G155" s="10" t="s">
        <v>437</v>
      </c>
      <c r="H155" s="10"/>
      <c r="I155" s="10"/>
      <c r="J155" s="10"/>
      <c r="K155" s="10" t="s">
        <v>440</v>
      </c>
      <c r="L155" s="10"/>
      <c r="M155" s="10" t="s">
        <v>426</v>
      </c>
      <c r="N155" s="113"/>
      <c r="O155" s="113"/>
      <c r="P155" s="70"/>
      <c r="Q155" s="70"/>
      <c r="R155" s="113"/>
      <c r="S155" s="113"/>
    </row>
    <row r="156" spans="1:19" ht="165" x14ac:dyDescent="0.25">
      <c r="A156" s="123"/>
      <c r="B156" s="125"/>
      <c r="C156" s="123"/>
      <c r="D156" s="128"/>
      <c r="E156" s="10"/>
      <c r="F156" s="10"/>
      <c r="G156" s="10"/>
      <c r="H156" s="10"/>
      <c r="I156" s="10"/>
      <c r="J156" s="10"/>
      <c r="K156" s="10" t="s">
        <v>529</v>
      </c>
      <c r="L156" s="10"/>
      <c r="M156" s="10" t="s">
        <v>530</v>
      </c>
      <c r="N156" s="113"/>
      <c r="O156" s="113"/>
      <c r="P156" s="70"/>
      <c r="Q156" s="70"/>
      <c r="R156" s="113"/>
      <c r="S156" s="113"/>
    </row>
    <row r="157" spans="1:19" ht="150" x14ac:dyDescent="0.25">
      <c r="A157" s="108"/>
      <c r="B157" s="126"/>
      <c r="C157" s="108"/>
      <c r="D157" s="129"/>
      <c r="E157" s="10"/>
      <c r="F157" s="10"/>
      <c r="G157" s="10"/>
      <c r="H157" s="10"/>
      <c r="I157" s="10"/>
      <c r="J157" s="10"/>
      <c r="K157" s="10" t="s">
        <v>441</v>
      </c>
      <c r="L157" s="10"/>
      <c r="M157" s="10" t="s">
        <v>426</v>
      </c>
      <c r="N157" s="110"/>
      <c r="O157" s="110"/>
      <c r="P157" s="69"/>
      <c r="Q157" s="69"/>
      <c r="R157" s="110"/>
      <c r="S157" s="110"/>
    </row>
    <row r="158" spans="1:19" s="24" customFormat="1" ht="42.75" x14ac:dyDescent="0.2">
      <c r="A158" s="38"/>
      <c r="B158" s="38" t="s">
        <v>442</v>
      </c>
      <c r="C158" s="39">
        <v>916</v>
      </c>
      <c r="D158" s="40"/>
      <c r="E158" s="38"/>
      <c r="F158" s="38"/>
      <c r="G158" s="38"/>
      <c r="H158" s="38"/>
      <c r="I158" s="38"/>
      <c r="J158" s="38"/>
      <c r="K158" s="38"/>
      <c r="L158" s="38"/>
      <c r="M158" s="38"/>
      <c r="N158" s="52">
        <f>N159</f>
        <v>10561308.529999999</v>
      </c>
      <c r="O158" s="52">
        <f t="shared" ref="O158:S158" si="23">O159</f>
        <v>10445253.609999999</v>
      </c>
      <c r="P158" s="52">
        <f t="shared" si="23"/>
        <v>14673602</v>
      </c>
      <c r="Q158" s="52">
        <f t="shared" si="23"/>
        <v>10012184</v>
      </c>
      <c r="R158" s="52">
        <f t="shared" si="23"/>
        <v>9885071</v>
      </c>
      <c r="S158" s="52">
        <f t="shared" si="23"/>
        <v>9885071</v>
      </c>
    </row>
    <row r="159" spans="1:19" s="24" customFormat="1" ht="99.75" x14ac:dyDescent="0.2">
      <c r="A159" s="41" t="s">
        <v>84</v>
      </c>
      <c r="B159" s="42" t="s">
        <v>83</v>
      </c>
      <c r="C159" s="42"/>
      <c r="D159" s="43"/>
      <c r="E159" s="42"/>
      <c r="F159" s="42"/>
      <c r="G159" s="42"/>
      <c r="H159" s="42"/>
      <c r="I159" s="42"/>
      <c r="J159" s="42"/>
      <c r="K159" s="42"/>
      <c r="L159" s="42"/>
      <c r="M159" s="42"/>
      <c r="N159" s="57">
        <f>N160+N162+N164+N166</f>
        <v>10561308.529999999</v>
      </c>
      <c r="O159" s="57">
        <f t="shared" ref="O159:S159" si="24">O160+O162+O164+O166</f>
        <v>10445253.609999999</v>
      </c>
      <c r="P159" s="57">
        <f t="shared" si="24"/>
        <v>14673602</v>
      </c>
      <c r="Q159" s="57">
        <f t="shared" si="24"/>
        <v>10012184</v>
      </c>
      <c r="R159" s="57">
        <f t="shared" si="24"/>
        <v>9885071</v>
      </c>
      <c r="S159" s="57">
        <f t="shared" si="24"/>
        <v>9885071</v>
      </c>
    </row>
    <row r="160" spans="1:19" ht="105" x14ac:dyDescent="0.25">
      <c r="A160" s="107" t="s">
        <v>18</v>
      </c>
      <c r="B160" s="124" t="s">
        <v>19</v>
      </c>
      <c r="C160" s="107">
        <v>916</v>
      </c>
      <c r="D160" s="22" t="s">
        <v>40</v>
      </c>
      <c r="E160" s="10" t="s">
        <v>22</v>
      </c>
      <c r="F160" s="10" t="s">
        <v>36</v>
      </c>
      <c r="G160" s="9" t="s">
        <v>23</v>
      </c>
      <c r="H160" s="10" t="s">
        <v>26</v>
      </c>
      <c r="I160" s="11" t="s">
        <v>27</v>
      </c>
      <c r="J160" s="9" t="s">
        <v>28</v>
      </c>
      <c r="K160" s="10" t="s">
        <v>31</v>
      </c>
      <c r="L160" s="10"/>
      <c r="M160" s="10" t="s">
        <v>32</v>
      </c>
      <c r="N160" s="109">
        <f>8431140+36456</f>
        <v>8467596</v>
      </c>
      <c r="O160" s="109">
        <f>8315085.08+36456</f>
        <v>8351541.0800000001</v>
      </c>
      <c r="P160" s="68">
        <v>8830259</v>
      </c>
      <c r="Q160" s="68">
        <v>8552131</v>
      </c>
      <c r="R160" s="109">
        <v>8552131</v>
      </c>
      <c r="S160" s="109">
        <v>8552131</v>
      </c>
    </row>
    <row r="161" spans="1:19" ht="285" x14ac:dyDescent="0.25">
      <c r="A161" s="108"/>
      <c r="B161" s="126"/>
      <c r="C161" s="108"/>
      <c r="D161" s="22"/>
      <c r="E161" s="9" t="s">
        <v>24</v>
      </c>
      <c r="F161" s="7" t="s">
        <v>27</v>
      </c>
      <c r="G161" s="9" t="s">
        <v>25</v>
      </c>
      <c r="H161" s="10" t="s">
        <v>29</v>
      </c>
      <c r="I161" s="11" t="s">
        <v>27</v>
      </c>
      <c r="J161" s="10" t="s">
        <v>30</v>
      </c>
      <c r="K161" s="10" t="s">
        <v>444</v>
      </c>
      <c r="L161" s="10"/>
      <c r="M161" s="10" t="s">
        <v>443</v>
      </c>
      <c r="N161" s="110"/>
      <c r="O161" s="110"/>
      <c r="P161" s="69"/>
      <c r="Q161" s="69"/>
      <c r="R161" s="110"/>
      <c r="S161" s="110"/>
    </row>
    <row r="162" spans="1:19" ht="75" x14ac:dyDescent="0.25">
      <c r="A162" s="124" t="s">
        <v>162</v>
      </c>
      <c r="B162" s="124" t="s">
        <v>161</v>
      </c>
      <c r="C162" s="107">
        <v>916</v>
      </c>
      <c r="D162" s="127" t="s">
        <v>163</v>
      </c>
      <c r="E162" s="124" t="s">
        <v>22</v>
      </c>
      <c r="F162" s="124" t="s">
        <v>164</v>
      </c>
      <c r="G162" s="124" t="s">
        <v>136</v>
      </c>
      <c r="H162" s="10" t="s">
        <v>165</v>
      </c>
      <c r="I162" s="10" t="s">
        <v>166</v>
      </c>
      <c r="J162" s="10" t="s">
        <v>167</v>
      </c>
      <c r="K162" s="10" t="s">
        <v>31</v>
      </c>
      <c r="L162" s="10"/>
      <c r="M162" s="10" t="s">
        <v>45</v>
      </c>
      <c r="N162" s="109">
        <f>20000+51212.53+138000</f>
        <v>209212.53</v>
      </c>
      <c r="O162" s="109">
        <f>138000+51212.53+20000</f>
        <v>209212.53</v>
      </c>
      <c r="P162" s="68">
        <f>50000+500000+4443843+50000</f>
        <v>5043843</v>
      </c>
      <c r="Q162" s="68">
        <v>760553</v>
      </c>
      <c r="R162" s="109">
        <v>608440</v>
      </c>
      <c r="S162" s="109">
        <v>608440</v>
      </c>
    </row>
    <row r="163" spans="1:19" ht="409.5" customHeight="1" x14ac:dyDescent="0.25">
      <c r="A163" s="126"/>
      <c r="B163" s="126"/>
      <c r="C163" s="108"/>
      <c r="D163" s="129"/>
      <c r="E163" s="126"/>
      <c r="F163" s="126"/>
      <c r="G163" s="126"/>
      <c r="H163" s="10"/>
      <c r="I163" s="10"/>
      <c r="J163" s="10"/>
      <c r="K163" s="10" t="s">
        <v>168</v>
      </c>
      <c r="L163" s="10"/>
      <c r="M163" s="10" t="s">
        <v>169</v>
      </c>
      <c r="N163" s="110"/>
      <c r="O163" s="110"/>
      <c r="P163" s="69"/>
      <c r="Q163" s="69"/>
      <c r="R163" s="110"/>
      <c r="S163" s="110"/>
    </row>
    <row r="164" spans="1:19" ht="90" x14ac:dyDescent="0.25">
      <c r="A164" s="107" t="s">
        <v>446</v>
      </c>
      <c r="B164" s="124" t="s">
        <v>445</v>
      </c>
      <c r="C164" s="107">
        <v>916</v>
      </c>
      <c r="D164" s="127" t="s">
        <v>40</v>
      </c>
      <c r="E164" s="10" t="s">
        <v>22</v>
      </c>
      <c r="F164" s="10" t="s">
        <v>71</v>
      </c>
      <c r="G164" s="10" t="s">
        <v>136</v>
      </c>
      <c r="H164" s="107"/>
      <c r="I164" s="107"/>
      <c r="J164" s="107"/>
      <c r="K164" s="21" t="s">
        <v>450</v>
      </c>
      <c r="L164" s="10"/>
      <c r="M164" s="10" t="s">
        <v>451</v>
      </c>
      <c r="N164" s="109">
        <v>168500</v>
      </c>
      <c r="O164" s="109">
        <v>168500</v>
      </c>
      <c r="P164" s="68">
        <v>300000</v>
      </c>
      <c r="Q164" s="68">
        <v>200000</v>
      </c>
      <c r="R164" s="109">
        <v>225000</v>
      </c>
      <c r="S164" s="109">
        <v>225000</v>
      </c>
    </row>
    <row r="165" spans="1:19" ht="45" x14ac:dyDescent="0.25">
      <c r="A165" s="108"/>
      <c r="B165" s="126"/>
      <c r="C165" s="108"/>
      <c r="D165" s="129"/>
      <c r="E165" s="10" t="s">
        <v>447</v>
      </c>
      <c r="F165" s="10" t="s">
        <v>448</v>
      </c>
      <c r="G165" s="10" t="s">
        <v>449</v>
      </c>
      <c r="H165" s="108"/>
      <c r="I165" s="108"/>
      <c r="J165" s="108"/>
      <c r="K165" s="9"/>
      <c r="L165" s="10"/>
      <c r="M165" s="10"/>
      <c r="N165" s="110"/>
      <c r="O165" s="110"/>
      <c r="P165" s="69"/>
      <c r="Q165" s="69"/>
      <c r="R165" s="110"/>
      <c r="S165" s="110"/>
    </row>
    <row r="166" spans="1:19" ht="105" x14ac:dyDescent="0.25">
      <c r="A166" s="107" t="s">
        <v>67</v>
      </c>
      <c r="B166" s="124" t="s">
        <v>66</v>
      </c>
      <c r="C166" s="107">
        <v>916</v>
      </c>
      <c r="D166" s="127" t="s">
        <v>68</v>
      </c>
      <c r="E166" s="10" t="s">
        <v>22</v>
      </c>
      <c r="F166" s="10" t="s">
        <v>71</v>
      </c>
      <c r="G166" s="10" t="s">
        <v>136</v>
      </c>
      <c r="H166" s="10" t="s">
        <v>72</v>
      </c>
      <c r="I166" s="10" t="s">
        <v>74</v>
      </c>
      <c r="J166" s="10" t="s">
        <v>73</v>
      </c>
      <c r="K166" s="10" t="s">
        <v>31</v>
      </c>
      <c r="L166" s="10"/>
      <c r="M166" s="10" t="s">
        <v>45</v>
      </c>
      <c r="N166" s="109">
        <f>188881.14+1527118.86</f>
        <v>1716000</v>
      </c>
      <c r="O166" s="109">
        <f>1527118.86+188881.14</f>
        <v>1716000</v>
      </c>
      <c r="P166" s="68">
        <v>499500</v>
      </c>
      <c r="Q166" s="68">
        <v>499500</v>
      </c>
      <c r="R166" s="109">
        <v>499500</v>
      </c>
      <c r="S166" s="109">
        <v>499500</v>
      </c>
    </row>
    <row r="167" spans="1:19" ht="105" x14ac:dyDescent="0.25">
      <c r="A167" s="123"/>
      <c r="B167" s="125"/>
      <c r="C167" s="123"/>
      <c r="D167" s="128"/>
      <c r="E167" s="10" t="s">
        <v>69</v>
      </c>
      <c r="F167" s="10" t="s">
        <v>452</v>
      </c>
      <c r="G167" s="10" t="s">
        <v>30</v>
      </c>
      <c r="H167" s="10"/>
      <c r="I167" s="10"/>
      <c r="J167" s="10"/>
      <c r="K167" s="10" t="s">
        <v>77</v>
      </c>
      <c r="L167" s="10"/>
      <c r="M167" s="10" t="s">
        <v>78</v>
      </c>
      <c r="N167" s="113"/>
      <c r="O167" s="113"/>
      <c r="P167" s="70"/>
      <c r="Q167" s="70"/>
      <c r="R167" s="113"/>
      <c r="S167" s="113"/>
    </row>
    <row r="168" spans="1:19" ht="90" x14ac:dyDescent="0.25">
      <c r="A168" s="123"/>
      <c r="B168" s="125"/>
      <c r="C168" s="123"/>
      <c r="D168" s="128"/>
      <c r="E168" s="10"/>
      <c r="F168" s="10"/>
      <c r="G168" s="10"/>
      <c r="H168" s="10"/>
      <c r="I168" s="10"/>
      <c r="J168" s="10"/>
      <c r="K168" s="10" t="s">
        <v>79</v>
      </c>
      <c r="L168" s="10"/>
      <c r="M168" s="10" t="s">
        <v>80</v>
      </c>
      <c r="N168" s="113"/>
      <c r="O168" s="113"/>
      <c r="P168" s="70"/>
      <c r="Q168" s="70"/>
      <c r="R168" s="113"/>
      <c r="S168" s="113"/>
    </row>
    <row r="169" spans="1:19" x14ac:dyDescent="0.25">
      <c r="A169" s="108"/>
      <c r="B169" s="126"/>
      <c r="C169" s="108"/>
      <c r="D169" s="129"/>
      <c r="E169" s="10"/>
      <c r="F169" s="10"/>
      <c r="G169" s="10"/>
      <c r="H169" s="10"/>
      <c r="I169" s="10"/>
      <c r="J169" s="10"/>
      <c r="K169" s="10"/>
      <c r="L169" s="10"/>
      <c r="M169" s="10"/>
      <c r="N169" s="110"/>
      <c r="O169" s="110"/>
      <c r="P169" s="69"/>
      <c r="Q169" s="69"/>
      <c r="R169" s="110"/>
      <c r="S169" s="110"/>
    </row>
    <row r="170" spans="1:19" s="24" customFormat="1" ht="28.5" x14ac:dyDescent="0.2">
      <c r="A170" s="38"/>
      <c r="B170" s="38" t="s">
        <v>453</v>
      </c>
      <c r="C170" s="39">
        <v>917</v>
      </c>
      <c r="D170" s="40"/>
      <c r="E170" s="38"/>
      <c r="F170" s="38"/>
      <c r="G170" s="38"/>
      <c r="H170" s="38"/>
      <c r="I170" s="38"/>
      <c r="J170" s="38"/>
      <c r="K170" s="38"/>
      <c r="L170" s="38"/>
      <c r="M170" s="38"/>
      <c r="N170" s="52">
        <f>N171</f>
        <v>5820089</v>
      </c>
      <c r="O170" s="52">
        <f t="shared" ref="O170:S171" si="25">O171</f>
        <v>5807282.9299999997</v>
      </c>
      <c r="P170" s="52">
        <f t="shared" si="25"/>
        <v>4094117</v>
      </c>
      <c r="Q170" s="52">
        <f t="shared" si="25"/>
        <v>3764499</v>
      </c>
      <c r="R170" s="52">
        <f t="shared" si="25"/>
        <v>3764499</v>
      </c>
      <c r="S170" s="52">
        <f t="shared" si="25"/>
        <v>3764499</v>
      </c>
    </row>
    <row r="171" spans="1:19" s="24" customFormat="1" ht="99.75" x14ac:dyDescent="0.2">
      <c r="A171" s="23" t="s">
        <v>84</v>
      </c>
      <c r="B171" s="18" t="s">
        <v>83</v>
      </c>
      <c r="C171" s="18"/>
      <c r="D171" s="27"/>
      <c r="E171" s="18"/>
      <c r="F171" s="18"/>
      <c r="G171" s="18"/>
      <c r="H171" s="18"/>
      <c r="I171" s="18"/>
      <c r="J171" s="18"/>
      <c r="K171" s="18"/>
      <c r="L171" s="18"/>
      <c r="M171" s="18"/>
      <c r="N171" s="51">
        <f>N172</f>
        <v>5820089</v>
      </c>
      <c r="O171" s="51">
        <f t="shared" si="25"/>
        <v>5807282.9299999997</v>
      </c>
      <c r="P171" s="51">
        <f t="shared" si="25"/>
        <v>4094117</v>
      </c>
      <c r="Q171" s="51">
        <f t="shared" si="25"/>
        <v>3764499</v>
      </c>
      <c r="R171" s="51">
        <f t="shared" si="25"/>
        <v>3764499</v>
      </c>
      <c r="S171" s="51">
        <f t="shared" si="25"/>
        <v>3764499</v>
      </c>
    </row>
    <row r="172" spans="1:19" ht="105" x14ac:dyDescent="0.25">
      <c r="A172" s="107" t="s">
        <v>18</v>
      </c>
      <c r="B172" s="124" t="s">
        <v>19</v>
      </c>
      <c r="C172" s="107">
        <v>917</v>
      </c>
      <c r="D172" s="127" t="s">
        <v>454</v>
      </c>
      <c r="E172" s="10" t="s">
        <v>22</v>
      </c>
      <c r="F172" s="10" t="s">
        <v>36</v>
      </c>
      <c r="G172" s="9" t="s">
        <v>23</v>
      </c>
      <c r="H172" s="10" t="s">
        <v>26</v>
      </c>
      <c r="I172" s="11" t="s">
        <v>27</v>
      </c>
      <c r="J172" s="9" t="s">
        <v>28</v>
      </c>
      <c r="K172" s="10" t="s">
        <v>31</v>
      </c>
      <c r="L172" s="10"/>
      <c r="M172" s="10" t="s">
        <v>45</v>
      </c>
      <c r="N172" s="109">
        <v>5820089</v>
      </c>
      <c r="O172" s="109">
        <v>5807282.9299999997</v>
      </c>
      <c r="P172" s="68">
        <v>4094117</v>
      </c>
      <c r="Q172" s="68">
        <v>3764499</v>
      </c>
      <c r="R172" s="109">
        <v>3764499</v>
      </c>
      <c r="S172" s="109">
        <v>3764499</v>
      </c>
    </row>
    <row r="173" spans="1:19" ht="285" x14ac:dyDescent="0.25">
      <c r="A173" s="108"/>
      <c r="B173" s="126"/>
      <c r="C173" s="108"/>
      <c r="D173" s="129"/>
      <c r="E173" s="9" t="s">
        <v>24</v>
      </c>
      <c r="F173" s="7" t="s">
        <v>27</v>
      </c>
      <c r="G173" s="9" t="s">
        <v>25</v>
      </c>
      <c r="H173" s="10" t="s">
        <v>29</v>
      </c>
      <c r="I173" s="11" t="s">
        <v>27</v>
      </c>
      <c r="J173" s="10" t="s">
        <v>30</v>
      </c>
      <c r="K173" s="28"/>
      <c r="L173" s="10"/>
      <c r="M173" s="10"/>
      <c r="N173" s="110"/>
      <c r="O173" s="110"/>
      <c r="P173" s="69"/>
      <c r="Q173" s="69"/>
      <c r="R173" s="110"/>
      <c r="S173" s="110"/>
    </row>
    <row r="174" spans="1:19" s="24" customFormat="1" ht="28.5" x14ac:dyDescent="0.2">
      <c r="A174" s="38"/>
      <c r="B174" s="38" t="s">
        <v>456</v>
      </c>
      <c r="C174" s="39">
        <v>918</v>
      </c>
      <c r="D174" s="40"/>
      <c r="E174" s="38"/>
      <c r="F174" s="38"/>
      <c r="G174" s="38"/>
      <c r="H174" s="38"/>
      <c r="I174" s="38"/>
      <c r="J174" s="38"/>
      <c r="K174" s="38"/>
      <c r="L174" s="38"/>
      <c r="M174" s="38"/>
      <c r="N174" s="52">
        <f>N175</f>
        <v>1272776.4099999999</v>
      </c>
      <c r="O174" s="52">
        <f t="shared" ref="O174:S175" si="26">O175</f>
        <v>1272776.4099999999</v>
      </c>
      <c r="P174" s="52">
        <f t="shared" si="26"/>
        <v>1348560</v>
      </c>
      <c r="Q174" s="52">
        <f t="shared" si="26"/>
        <v>1234606</v>
      </c>
      <c r="R174" s="52">
        <f t="shared" si="26"/>
        <v>1234606</v>
      </c>
      <c r="S174" s="52">
        <f t="shared" si="26"/>
        <v>1234606</v>
      </c>
    </row>
    <row r="175" spans="1:19" s="24" customFormat="1" ht="99.75" x14ac:dyDescent="0.2">
      <c r="A175" s="23" t="s">
        <v>84</v>
      </c>
      <c r="B175" s="18" t="s">
        <v>83</v>
      </c>
      <c r="C175" s="18"/>
      <c r="D175" s="27"/>
      <c r="E175" s="18"/>
      <c r="F175" s="18"/>
      <c r="G175" s="18"/>
      <c r="H175" s="18"/>
      <c r="I175" s="18"/>
      <c r="J175" s="18"/>
      <c r="K175" s="18"/>
      <c r="L175" s="18"/>
      <c r="M175" s="18"/>
      <c r="N175" s="51">
        <f>N176</f>
        <v>1272776.4099999999</v>
      </c>
      <c r="O175" s="51">
        <f t="shared" si="26"/>
        <v>1272776.4099999999</v>
      </c>
      <c r="P175" s="51">
        <f t="shared" si="26"/>
        <v>1348560</v>
      </c>
      <c r="Q175" s="51">
        <f t="shared" si="26"/>
        <v>1234606</v>
      </c>
      <c r="R175" s="51">
        <f t="shared" si="26"/>
        <v>1234606</v>
      </c>
      <c r="S175" s="51">
        <f t="shared" si="26"/>
        <v>1234606</v>
      </c>
    </row>
    <row r="176" spans="1:19" ht="105" x14ac:dyDescent="0.25">
      <c r="A176" s="107" t="s">
        <v>182</v>
      </c>
      <c r="B176" s="124" t="s">
        <v>181</v>
      </c>
      <c r="C176" s="107">
        <v>918</v>
      </c>
      <c r="D176" s="127" t="s">
        <v>455</v>
      </c>
      <c r="E176" s="10" t="s">
        <v>22</v>
      </c>
      <c r="F176" s="10" t="s">
        <v>36</v>
      </c>
      <c r="G176" s="9" t="s">
        <v>23</v>
      </c>
      <c r="H176" s="10" t="s">
        <v>26</v>
      </c>
      <c r="I176" s="11" t="s">
        <v>27</v>
      </c>
      <c r="J176" s="9" t="s">
        <v>28</v>
      </c>
      <c r="K176" s="10" t="s">
        <v>31</v>
      </c>
      <c r="L176" s="10"/>
      <c r="M176" s="10"/>
      <c r="N176" s="109">
        <v>1272776.4099999999</v>
      </c>
      <c r="O176" s="109">
        <v>1272776.4099999999</v>
      </c>
      <c r="P176" s="68">
        <v>1348560</v>
      </c>
      <c r="Q176" s="68">
        <v>1234606</v>
      </c>
      <c r="R176" s="109">
        <v>1234606</v>
      </c>
      <c r="S176" s="109">
        <v>1234606</v>
      </c>
    </row>
    <row r="177" spans="1:19" ht="285" x14ac:dyDescent="0.25">
      <c r="A177" s="108"/>
      <c r="B177" s="126"/>
      <c r="C177" s="108"/>
      <c r="D177" s="129"/>
      <c r="E177" s="9" t="s">
        <v>24</v>
      </c>
      <c r="F177" s="7" t="s">
        <v>27</v>
      </c>
      <c r="G177" s="9" t="s">
        <v>25</v>
      </c>
      <c r="H177" s="10" t="s">
        <v>29</v>
      </c>
      <c r="I177" s="11" t="s">
        <v>27</v>
      </c>
      <c r="J177" s="10" t="s">
        <v>30</v>
      </c>
      <c r="K177" s="10" t="s">
        <v>187</v>
      </c>
      <c r="L177" s="10"/>
      <c r="M177" s="10" t="s">
        <v>188</v>
      </c>
      <c r="N177" s="110"/>
      <c r="O177" s="110"/>
      <c r="P177" s="69"/>
      <c r="Q177" s="69"/>
      <c r="R177" s="110"/>
      <c r="S177" s="110"/>
    </row>
    <row r="178" spans="1:19" x14ac:dyDescent="0.25">
      <c r="A178" s="23" t="s">
        <v>84</v>
      </c>
      <c r="B178" s="114" t="s">
        <v>83</v>
      </c>
      <c r="C178" s="115"/>
      <c r="D178" s="115"/>
      <c r="E178" s="115"/>
      <c r="F178" s="115"/>
      <c r="G178" s="115"/>
      <c r="H178" s="115"/>
      <c r="I178" s="115"/>
      <c r="J178" s="115"/>
      <c r="K178" s="115"/>
      <c r="L178" s="115"/>
      <c r="M178" s="116"/>
      <c r="N178" s="58">
        <f t="shared" ref="N178:S178" si="27">N175+N171+N159+N145+N131+N98+N67+N58+N51+N39+N10</f>
        <v>1025219563.34</v>
      </c>
      <c r="O178" s="58">
        <f t="shared" si="27"/>
        <v>1019368726.7099999</v>
      </c>
      <c r="P178" s="58">
        <f t="shared" si="27"/>
        <v>973376510.13999999</v>
      </c>
      <c r="Q178" s="58">
        <f t="shared" si="27"/>
        <v>745871456</v>
      </c>
      <c r="R178" s="58">
        <f t="shared" si="27"/>
        <v>736648156</v>
      </c>
      <c r="S178" s="58">
        <f t="shared" si="27"/>
        <v>736478856</v>
      </c>
    </row>
    <row r="179" spans="1:19" x14ac:dyDescent="0.25">
      <c r="A179" s="18" t="s">
        <v>82</v>
      </c>
      <c r="B179" s="114" t="s">
        <v>81</v>
      </c>
      <c r="C179" s="115"/>
      <c r="D179" s="115"/>
      <c r="E179" s="115"/>
      <c r="F179" s="115"/>
      <c r="G179" s="115"/>
      <c r="H179" s="115"/>
      <c r="I179" s="115"/>
      <c r="J179" s="115"/>
      <c r="K179" s="115"/>
      <c r="L179" s="115"/>
      <c r="M179" s="116"/>
      <c r="N179" s="58">
        <f t="shared" ref="N179:S179" si="28">N127+N88+N77+N47+N29</f>
        <v>1080172274.1700001</v>
      </c>
      <c r="O179" s="58">
        <f t="shared" si="28"/>
        <v>1063604848.5199999</v>
      </c>
      <c r="P179" s="58">
        <f t="shared" si="28"/>
        <v>1101517010</v>
      </c>
      <c r="Q179" s="58">
        <f t="shared" si="28"/>
        <v>997293100</v>
      </c>
      <c r="R179" s="58">
        <f t="shared" si="28"/>
        <v>994573600</v>
      </c>
      <c r="S179" s="58">
        <f t="shared" si="28"/>
        <v>990190900</v>
      </c>
    </row>
    <row r="180" spans="1:19" ht="15.75" thickBot="1" x14ac:dyDescent="0.3">
      <c r="A180" s="32" t="s">
        <v>490</v>
      </c>
      <c r="B180" s="117" t="s">
        <v>489</v>
      </c>
      <c r="C180" s="118"/>
      <c r="D180" s="118"/>
      <c r="E180" s="118"/>
      <c r="F180" s="118"/>
      <c r="G180" s="118"/>
      <c r="H180" s="118"/>
      <c r="I180" s="118"/>
      <c r="J180" s="118"/>
      <c r="K180" s="118"/>
      <c r="L180" s="118"/>
      <c r="M180" s="119"/>
      <c r="N180" s="59">
        <f t="shared" ref="N180:S180" si="29">N94</f>
        <v>364031.29</v>
      </c>
      <c r="O180" s="59">
        <f t="shared" si="29"/>
        <v>364031.29</v>
      </c>
      <c r="P180" s="59">
        <f t="shared" si="29"/>
        <v>1007035</v>
      </c>
      <c r="Q180" s="59">
        <f t="shared" si="29"/>
        <v>1007035</v>
      </c>
      <c r="R180" s="59">
        <f t="shared" si="29"/>
        <v>1007035</v>
      </c>
      <c r="S180" s="59">
        <f t="shared" si="29"/>
        <v>1007035</v>
      </c>
    </row>
    <row r="181" spans="1:19" ht="15.75" thickBot="1" x14ac:dyDescent="0.3">
      <c r="A181" s="33"/>
      <c r="B181" s="120" t="s">
        <v>501</v>
      </c>
      <c r="C181" s="120"/>
      <c r="D181" s="120"/>
      <c r="E181" s="120"/>
      <c r="F181" s="120"/>
      <c r="G181" s="120"/>
      <c r="H181" s="120"/>
      <c r="I181" s="120"/>
      <c r="J181" s="120"/>
      <c r="K181" s="120"/>
      <c r="L181" s="120"/>
      <c r="M181" s="121"/>
      <c r="N181" s="60">
        <f>SUM(N178:N180)</f>
        <v>2105755868.8000002</v>
      </c>
      <c r="O181" s="60">
        <f t="shared" ref="O181:S181" si="30">SUM(O178:O180)</f>
        <v>2083337606.5199997</v>
      </c>
      <c r="P181" s="60">
        <f t="shared" si="30"/>
        <v>2075900555.1399999</v>
      </c>
      <c r="Q181" s="60">
        <f t="shared" si="30"/>
        <v>1744171591</v>
      </c>
      <c r="R181" s="60">
        <f t="shared" si="30"/>
        <v>1732228791</v>
      </c>
      <c r="S181" s="60">
        <f t="shared" si="30"/>
        <v>1727676791</v>
      </c>
    </row>
    <row r="182" spans="1:19" x14ac:dyDescent="0.25">
      <c r="N182" s="61">
        <f t="shared" ref="N182:S182" si="31">N174+N170+N158+N144+N130+N97+N87+N66+N57+N50+N38+N9</f>
        <v>2105755868.8000002</v>
      </c>
      <c r="O182" s="61">
        <f t="shared" si="31"/>
        <v>2083337606.52</v>
      </c>
      <c r="P182" s="61">
        <f t="shared" si="31"/>
        <v>2075900555.1400001</v>
      </c>
      <c r="Q182" s="61">
        <f t="shared" si="31"/>
        <v>1744171591</v>
      </c>
      <c r="R182" s="61">
        <f t="shared" si="31"/>
        <v>1732228791</v>
      </c>
      <c r="S182" s="61">
        <f t="shared" si="31"/>
        <v>1727676791</v>
      </c>
    </row>
    <row r="183" spans="1:19" x14ac:dyDescent="0.25">
      <c r="N183" s="20">
        <f>N181-N182</f>
        <v>0</v>
      </c>
      <c r="O183" s="20">
        <f t="shared" ref="O183:S183" si="32">O181-O182</f>
        <v>0</v>
      </c>
      <c r="P183" s="20">
        <f t="shared" si="32"/>
        <v>0</v>
      </c>
      <c r="Q183" s="20">
        <f t="shared" si="32"/>
        <v>0</v>
      </c>
      <c r="R183" s="20">
        <f t="shared" si="32"/>
        <v>0</v>
      </c>
      <c r="S183" s="20">
        <f t="shared" si="32"/>
        <v>0</v>
      </c>
    </row>
    <row r="184" spans="1:19" x14ac:dyDescent="0.25">
      <c r="N184" s="20"/>
      <c r="O184" s="20"/>
      <c r="P184" s="20"/>
      <c r="Q184" s="20"/>
      <c r="R184" s="20"/>
      <c r="S184" s="20"/>
    </row>
  </sheetData>
  <mergeCells count="471">
    <mergeCell ref="O106:O108"/>
    <mergeCell ref="O101:O102"/>
    <mergeCell ref="R148:R149"/>
    <mergeCell ref="S148:S149"/>
    <mergeCell ref="P136:P138"/>
    <mergeCell ref="Q136:Q138"/>
    <mergeCell ref="R136:R138"/>
    <mergeCell ref="S136:S138"/>
    <mergeCell ref="R124:R126"/>
    <mergeCell ref="S124:S126"/>
    <mergeCell ref="S121:S123"/>
    <mergeCell ref="S132:S133"/>
    <mergeCell ref="R139:R140"/>
    <mergeCell ref="S139:S140"/>
    <mergeCell ref="O146:O147"/>
    <mergeCell ref="R146:R147"/>
    <mergeCell ref="S146:S147"/>
    <mergeCell ref="R141:R143"/>
    <mergeCell ref="S141:S143"/>
    <mergeCell ref="O141:O143"/>
    <mergeCell ref="O148:O149"/>
    <mergeCell ref="S113:S114"/>
    <mergeCell ref="S106:S108"/>
    <mergeCell ref="O111:O112"/>
    <mergeCell ref="A141:A143"/>
    <mergeCell ref="B141:B143"/>
    <mergeCell ref="C141:C143"/>
    <mergeCell ref="D141:D143"/>
    <mergeCell ref="B148:B149"/>
    <mergeCell ref="A148:A149"/>
    <mergeCell ref="C148:C149"/>
    <mergeCell ref="D148:D149"/>
    <mergeCell ref="N146:N147"/>
    <mergeCell ref="A146:A147"/>
    <mergeCell ref="B146:B147"/>
    <mergeCell ref="C146:C147"/>
    <mergeCell ref="D146:D147"/>
    <mergeCell ref="N148:N149"/>
    <mergeCell ref="E141:E143"/>
    <mergeCell ref="F141:F143"/>
    <mergeCell ref="G141:G143"/>
    <mergeCell ref="N141:N143"/>
    <mergeCell ref="S176:S177"/>
    <mergeCell ref="R160:R161"/>
    <mergeCell ref="S160:S161"/>
    <mergeCell ref="R176:R177"/>
    <mergeCell ref="S150:S153"/>
    <mergeCell ref="S154:S157"/>
    <mergeCell ref="S166:S169"/>
    <mergeCell ref="R172:R173"/>
    <mergeCell ref="S172:S173"/>
    <mergeCell ref="S162:S163"/>
    <mergeCell ref="O166:O169"/>
    <mergeCell ref="R166:R169"/>
    <mergeCell ref="N166:N169"/>
    <mergeCell ref="A176:A177"/>
    <mergeCell ref="B176:B177"/>
    <mergeCell ref="C176:C177"/>
    <mergeCell ref="D176:D177"/>
    <mergeCell ref="C160:C161"/>
    <mergeCell ref="N160:N161"/>
    <mergeCell ref="O160:O161"/>
    <mergeCell ref="N176:N177"/>
    <mergeCell ref="O176:O177"/>
    <mergeCell ref="A166:A169"/>
    <mergeCell ref="B166:B169"/>
    <mergeCell ref="C166:C169"/>
    <mergeCell ref="A172:A173"/>
    <mergeCell ref="B172:B173"/>
    <mergeCell ref="A160:A161"/>
    <mergeCell ref="B160:B161"/>
    <mergeCell ref="N172:N173"/>
    <mergeCell ref="O172:O173"/>
    <mergeCell ref="C172:C173"/>
    <mergeCell ref="D172:D173"/>
    <mergeCell ref="N164:N165"/>
    <mergeCell ref="A154:A157"/>
    <mergeCell ref="B154:B157"/>
    <mergeCell ref="C154:C157"/>
    <mergeCell ref="D154:D157"/>
    <mergeCell ref="N154:N157"/>
    <mergeCell ref="O154:O157"/>
    <mergeCell ref="R154:R157"/>
    <mergeCell ref="A150:A153"/>
    <mergeCell ref="B150:B153"/>
    <mergeCell ref="C150:C153"/>
    <mergeCell ref="D150:D153"/>
    <mergeCell ref="N150:N153"/>
    <mergeCell ref="O150:O153"/>
    <mergeCell ref="R150:R153"/>
    <mergeCell ref="N121:N123"/>
    <mergeCell ref="O121:O123"/>
    <mergeCell ref="R121:R123"/>
    <mergeCell ref="A124:A126"/>
    <mergeCell ref="B124:B126"/>
    <mergeCell ref="C124:C126"/>
    <mergeCell ref="D124:D126"/>
    <mergeCell ref="N124:N126"/>
    <mergeCell ref="O124:O126"/>
    <mergeCell ref="O164:O165"/>
    <mergeCell ref="D166:D169"/>
    <mergeCell ref="A139:A140"/>
    <mergeCell ref="B139:B140"/>
    <mergeCell ref="C139:C140"/>
    <mergeCell ref="D139:D140"/>
    <mergeCell ref="N139:N140"/>
    <mergeCell ref="O139:O140"/>
    <mergeCell ref="R162:R163"/>
    <mergeCell ref="A164:A165"/>
    <mergeCell ref="B164:B165"/>
    <mergeCell ref="C164:C165"/>
    <mergeCell ref="D164:D165"/>
    <mergeCell ref="H164:H165"/>
    <mergeCell ref="I164:I165"/>
    <mergeCell ref="J164:J165"/>
    <mergeCell ref="A162:A163"/>
    <mergeCell ref="B162:B163"/>
    <mergeCell ref="C162:C163"/>
    <mergeCell ref="D162:D163"/>
    <mergeCell ref="E162:E163"/>
    <mergeCell ref="F162:F163"/>
    <mergeCell ref="G162:G163"/>
    <mergeCell ref="N162:N163"/>
    <mergeCell ref="O162:O163"/>
    <mergeCell ref="R164:R165"/>
    <mergeCell ref="S164:S165"/>
    <mergeCell ref="N119:N120"/>
    <mergeCell ref="A115:A116"/>
    <mergeCell ref="O119:O120"/>
    <mergeCell ref="R119:R120"/>
    <mergeCell ref="S119:S120"/>
    <mergeCell ref="C119:C120"/>
    <mergeCell ref="D119:D120"/>
    <mergeCell ref="A117:A118"/>
    <mergeCell ref="B117:B118"/>
    <mergeCell ref="O117:O118"/>
    <mergeCell ref="R117:R118"/>
    <mergeCell ref="S117:S118"/>
    <mergeCell ref="R115:R116"/>
    <mergeCell ref="S115:S116"/>
    <mergeCell ref="B115:B116"/>
    <mergeCell ref="C115:C116"/>
    <mergeCell ref="D115:D116"/>
    <mergeCell ref="N115:N116"/>
    <mergeCell ref="O115:O116"/>
    <mergeCell ref="N117:N118"/>
    <mergeCell ref="H134:H135"/>
    <mergeCell ref="H113:H114"/>
    <mergeCell ref="I113:I114"/>
    <mergeCell ref="J113:J114"/>
    <mergeCell ref="C117:C118"/>
    <mergeCell ref="D117:D118"/>
    <mergeCell ref="E117:E118"/>
    <mergeCell ref="F117:F118"/>
    <mergeCell ref="G117:G118"/>
    <mergeCell ref="H117:H118"/>
    <mergeCell ref="I117:I118"/>
    <mergeCell ref="J117:J118"/>
    <mergeCell ref="A119:A120"/>
    <mergeCell ref="B119:B120"/>
    <mergeCell ref="F134:F135"/>
    <mergeCell ref="G134:G135"/>
    <mergeCell ref="C113:C114"/>
    <mergeCell ref="D113:D114"/>
    <mergeCell ref="E113:E114"/>
    <mergeCell ref="F113:F114"/>
    <mergeCell ref="G113:G114"/>
    <mergeCell ref="A121:A123"/>
    <mergeCell ref="B121:B123"/>
    <mergeCell ref="C121:C123"/>
    <mergeCell ref="D121:D123"/>
    <mergeCell ref="R109:R110"/>
    <mergeCell ref="R106:R108"/>
    <mergeCell ref="B106:B108"/>
    <mergeCell ref="C106:C108"/>
    <mergeCell ref="N113:N114"/>
    <mergeCell ref="B136:B138"/>
    <mergeCell ref="A136:A138"/>
    <mergeCell ref="N136:N138"/>
    <mergeCell ref="O136:O138"/>
    <mergeCell ref="O113:O114"/>
    <mergeCell ref="P113:P114"/>
    <mergeCell ref="Q113:Q114"/>
    <mergeCell ref="R113:R114"/>
    <mergeCell ref="C136:C138"/>
    <mergeCell ref="D136:D138"/>
    <mergeCell ref="A132:A133"/>
    <mergeCell ref="B132:B133"/>
    <mergeCell ref="C132:C133"/>
    <mergeCell ref="D132:D133"/>
    <mergeCell ref="N132:N133"/>
    <mergeCell ref="O132:O133"/>
    <mergeCell ref="R132:R133"/>
    <mergeCell ref="A113:A114"/>
    <mergeCell ref="B113:B114"/>
    <mergeCell ref="A89:A90"/>
    <mergeCell ref="A111:A112"/>
    <mergeCell ref="B111:B112"/>
    <mergeCell ref="C111:C112"/>
    <mergeCell ref="D111:D112"/>
    <mergeCell ref="N101:N102"/>
    <mergeCell ref="N106:N108"/>
    <mergeCell ref="N111:N112"/>
    <mergeCell ref="A101:A102"/>
    <mergeCell ref="B101:B102"/>
    <mergeCell ref="C101:C102"/>
    <mergeCell ref="D101:D102"/>
    <mergeCell ref="A103:A105"/>
    <mergeCell ref="B103:B105"/>
    <mergeCell ref="C103:C105"/>
    <mergeCell ref="D103:D105"/>
    <mergeCell ref="A106:A108"/>
    <mergeCell ref="A109:A110"/>
    <mergeCell ref="B109:B110"/>
    <mergeCell ref="C109:C110"/>
    <mergeCell ref="D109:D110"/>
    <mergeCell ref="N103:N105"/>
    <mergeCell ref="D106:D108"/>
    <mergeCell ref="N109:N110"/>
    <mergeCell ref="A99:A100"/>
    <mergeCell ref="B99:B100"/>
    <mergeCell ref="C99:C100"/>
    <mergeCell ref="D99:D100"/>
    <mergeCell ref="N99:N100"/>
    <mergeCell ref="C2:P2"/>
    <mergeCell ref="K6:K7"/>
    <mergeCell ref="L6:L7"/>
    <mergeCell ref="M6:M7"/>
    <mergeCell ref="N6:O6"/>
    <mergeCell ref="C5:D5"/>
    <mergeCell ref="A84:A85"/>
    <mergeCell ref="B84:B85"/>
    <mergeCell ref="C84:C85"/>
    <mergeCell ref="D84:D85"/>
    <mergeCell ref="H84:H85"/>
    <mergeCell ref="I84:I85"/>
    <mergeCell ref="J84:J85"/>
    <mergeCell ref="N84:N85"/>
    <mergeCell ref="O84:O85"/>
    <mergeCell ref="N11:N15"/>
    <mergeCell ref="O11:O15"/>
    <mergeCell ref="B16:B17"/>
    <mergeCell ref="A16:A17"/>
    <mergeCell ref="C16:C17"/>
    <mergeCell ref="D16:D17"/>
    <mergeCell ref="E16:E17"/>
    <mergeCell ref="A5:A7"/>
    <mergeCell ref="B5:B7"/>
    <mergeCell ref="C6:C7"/>
    <mergeCell ref="D6:D7"/>
    <mergeCell ref="Q6:S6"/>
    <mergeCell ref="N5:S5"/>
    <mergeCell ref="E6:E7"/>
    <mergeCell ref="F6:F7"/>
    <mergeCell ref="G6:G7"/>
    <mergeCell ref="H6:H7"/>
    <mergeCell ref="I6:I7"/>
    <mergeCell ref="J6:J7"/>
    <mergeCell ref="E5:G5"/>
    <mergeCell ref="H5:J5"/>
    <mergeCell ref="K5:M5"/>
    <mergeCell ref="F16:F17"/>
    <mergeCell ref="G16:G17"/>
    <mergeCell ref="N16:N17"/>
    <mergeCell ref="O16:O17"/>
    <mergeCell ref="R16:R17"/>
    <mergeCell ref="S16:S17"/>
    <mergeCell ref="A11:A15"/>
    <mergeCell ref="B11:B15"/>
    <mergeCell ref="C11:C15"/>
    <mergeCell ref="D11:D15"/>
    <mergeCell ref="E11:E12"/>
    <mergeCell ref="F11:F12"/>
    <mergeCell ref="G11:G12"/>
    <mergeCell ref="H11:H12"/>
    <mergeCell ref="I11:I12"/>
    <mergeCell ref="J11:J12"/>
    <mergeCell ref="R11:R15"/>
    <mergeCell ref="S11:S15"/>
    <mergeCell ref="D20:D21"/>
    <mergeCell ref="E20:E21"/>
    <mergeCell ref="O18:O19"/>
    <mergeCell ref="P18:P19"/>
    <mergeCell ref="Q18:Q19"/>
    <mergeCell ref="R18:R19"/>
    <mergeCell ref="S18:S19"/>
    <mergeCell ref="A18:A19"/>
    <mergeCell ref="B18:B19"/>
    <mergeCell ref="C18:C19"/>
    <mergeCell ref="D18:D19"/>
    <mergeCell ref="N18:N19"/>
    <mergeCell ref="R20:R21"/>
    <mergeCell ref="S20:S21"/>
    <mergeCell ref="A20:A21"/>
    <mergeCell ref="B20:B21"/>
    <mergeCell ref="C20:C21"/>
    <mergeCell ref="A22:A23"/>
    <mergeCell ref="B22:B23"/>
    <mergeCell ref="C22:C23"/>
    <mergeCell ref="D22:D23"/>
    <mergeCell ref="E22:E23"/>
    <mergeCell ref="F22:F23"/>
    <mergeCell ref="G22:G23"/>
    <mergeCell ref="N22:N23"/>
    <mergeCell ref="O22:O23"/>
    <mergeCell ref="R22:R23"/>
    <mergeCell ref="S22:S23"/>
    <mergeCell ref="F20:F21"/>
    <mergeCell ref="G20:G21"/>
    <mergeCell ref="N20:N21"/>
    <mergeCell ref="O20:O21"/>
    <mergeCell ref="O24:O27"/>
    <mergeCell ref="P24:P27"/>
    <mergeCell ref="Q24:Q27"/>
    <mergeCell ref="R24:R27"/>
    <mergeCell ref="S24:S27"/>
    <mergeCell ref="A24:A27"/>
    <mergeCell ref="B24:B27"/>
    <mergeCell ref="C24:C27"/>
    <mergeCell ref="D24:D27"/>
    <mergeCell ref="N24:N27"/>
    <mergeCell ref="E32:E33"/>
    <mergeCell ref="F32:F33"/>
    <mergeCell ref="G32:G33"/>
    <mergeCell ref="N32:N33"/>
    <mergeCell ref="R34:R35"/>
    <mergeCell ref="S34:S35"/>
    <mergeCell ref="N34:N35"/>
    <mergeCell ref="O34:O35"/>
    <mergeCell ref="O36:O37"/>
    <mergeCell ref="R36:R37"/>
    <mergeCell ref="S36:S37"/>
    <mergeCell ref="O32:O33"/>
    <mergeCell ref="A36:A37"/>
    <mergeCell ref="B36:B37"/>
    <mergeCell ref="C36:C37"/>
    <mergeCell ref="D36:D37"/>
    <mergeCell ref="N36:N37"/>
    <mergeCell ref="A34:A35"/>
    <mergeCell ref="B34:B35"/>
    <mergeCell ref="C34:C35"/>
    <mergeCell ref="D34:D35"/>
    <mergeCell ref="A32:A33"/>
    <mergeCell ref="B32:B33"/>
    <mergeCell ref="C32:C33"/>
    <mergeCell ref="D32:D33"/>
    <mergeCell ref="R32:R33"/>
    <mergeCell ref="S32:S33"/>
    <mergeCell ref="O40:O43"/>
    <mergeCell ref="R40:R43"/>
    <mergeCell ref="S40:S43"/>
    <mergeCell ref="A40:A43"/>
    <mergeCell ref="B40:B43"/>
    <mergeCell ref="C40:C43"/>
    <mergeCell ref="D40:D43"/>
    <mergeCell ref="N40:N43"/>
    <mergeCell ref="O45:O46"/>
    <mergeCell ref="P45:P46"/>
    <mergeCell ref="Q45:Q46"/>
    <mergeCell ref="R45:R46"/>
    <mergeCell ref="S45:S46"/>
    <mergeCell ref="A45:A46"/>
    <mergeCell ref="B45:B46"/>
    <mergeCell ref="C45:C46"/>
    <mergeCell ref="D45:D46"/>
    <mergeCell ref="N45:N46"/>
    <mergeCell ref="S52:S55"/>
    <mergeCell ref="F48:F49"/>
    <mergeCell ref="G48:G49"/>
    <mergeCell ref="N48:N49"/>
    <mergeCell ref="O48:O49"/>
    <mergeCell ref="A52:A55"/>
    <mergeCell ref="B52:B55"/>
    <mergeCell ref="C52:C55"/>
    <mergeCell ref="D52:D55"/>
    <mergeCell ref="N52:N55"/>
    <mergeCell ref="O52:O55"/>
    <mergeCell ref="D48:D49"/>
    <mergeCell ref="E48:E49"/>
    <mergeCell ref="R48:R49"/>
    <mergeCell ref="S48:S49"/>
    <mergeCell ref="A48:A49"/>
    <mergeCell ref="B48:B49"/>
    <mergeCell ref="C48:C49"/>
    <mergeCell ref="H53:H55"/>
    <mergeCell ref="I53:I55"/>
    <mergeCell ref="J53:J55"/>
    <mergeCell ref="S78:S79"/>
    <mergeCell ref="A82:A83"/>
    <mergeCell ref="B82:B83"/>
    <mergeCell ref="C82:C83"/>
    <mergeCell ref="D82:D83"/>
    <mergeCell ref="E82:E83"/>
    <mergeCell ref="F82:F83"/>
    <mergeCell ref="G82:G83"/>
    <mergeCell ref="H82:H83"/>
    <mergeCell ref="I82:I83"/>
    <mergeCell ref="J82:J83"/>
    <mergeCell ref="I78:I79"/>
    <mergeCell ref="J78:J79"/>
    <mergeCell ref="N78:N79"/>
    <mergeCell ref="O78:O79"/>
    <mergeCell ref="A78:A79"/>
    <mergeCell ref="B78:B79"/>
    <mergeCell ref="C78:C79"/>
    <mergeCell ref="D78:D79"/>
    <mergeCell ref="H78:H79"/>
    <mergeCell ref="N82:N83"/>
    <mergeCell ref="O82:O83"/>
    <mergeCell ref="A59:A62"/>
    <mergeCell ref="B59:B62"/>
    <mergeCell ref="C59:C62"/>
    <mergeCell ref="D59:D62"/>
    <mergeCell ref="R78:R79"/>
    <mergeCell ref="R52:R55"/>
    <mergeCell ref="J63:J65"/>
    <mergeCell ref="N63:N65"/>
    <mergeCell ref="O63:O65"/>
    <mergeCell ref="A63:A65"/>
    <mergeCell ref="B63:B65"/>
    <mergeCell ref="C63:C65"/>
    <mergeCell ref="D63:D65"/>
    <mergeCell ref="H63:H65"/>
    <mergeCell ref="B178:M178"/>
    <mergeCell ref="B179:M179"/>
    <mergeCell ref="B180:M180"/>
    <mergeCell ref="B181:M181"/>
    <mergeCell ref="S59:S62"/>
    <mergeCell ref="R63:R65"/>
    <mergeCell ref="S63:S65"/>
    <mergeCell ref="A68:A76"/>
    <mergeCell ref="B68:B76"/>
    <mergeCell ref="C68:C76"/>
    <mergeCell ref="D68:D76"/>
    <mergeCell ref="N68:N76"/>
    <mergeCell ref="O68:O76"/>
    <mergeCell ref="R68:R76"/>
    <mergeCell ref="S68:S76"/>
    <mergeCell ref="N59:N62"/>
    <mergeCell ref="O59:O62"/>
    <mergeCell ref="R59:R62"/>
    <mergeCell ref="I63:I65"/>
    <mergeCell ref="R82:R83"/>
    <mergeCell ref="S82:S83"/>
    <mergeCell ref="C134:C135"/>
    <mergeCell ref="D134:D135"/>
    <mergeCell ref="E134:E135"/>
    <mergeCell ref="I134:I135"/>
    <mergeCell ref="J134:J135"/>
    <mergeCell ref="N134:N135"/>
    <mergeCell ref="O134:O135"/>
    <mergeCell ref="R134:R135"/>
    <mergeCell ref="S134:S135"/>
    <mergeCell ref="R84:R85"/>
    <mergeCell ref="S84:S85"/>
    <mergeCell ref="S99:S100"/>
    <mergeCell ref="N89:N90"/>
    <mergeCell ref="R101:R102"/>
    <mergeCell ref="S101:S102"/>
    <mergeCell ref="S103:S105"/>
    <mergeCell ref="O89:O90"/>
    <mergeCell ref="R89:R90"/>
    <mergeCell ref="S89:S90"/>
    <mergeCell ref="O99:O100"/>
    <mergeCell ref="R99:R100"/>
    <mergeCell ref="R111:R112"/>
    <mergeCell ref="S111:S112"/>
    <mergeCell ref="O109:O110"/>
    <mergeCell ref="S109:S110"/>
    <mergeCell ref="O103:O105"/>
    <mergeCell ref="R103:R105"/>
  </mergeCells>
  <hyperlinks>
    <hyperlink ref="K101"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48" workbookViewId="0">
      <selection activeCell="D31" sqref="D31:H31"/>
    </sheetView>
  </sheetViews>
  <sheetFormatPr defaultRowHeight="15" x14ac:dyDescent="0.25"/>
  <cols>
    <col min="1" max="1" width="14.7109375" style="87"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86" t="s">
        <v>522</v>
      </c>
    </row>
    <row r="3" spans="1:8" x14ac:dyDescent="0.25">
      <c r="A3" s="87" t="s">
        <v>517</v>
      </c>
    </row>
    <row r="5" spans="1:8" ht="45" x14ac:dyDescent="0.25">
      <c r="A5" s="107" t="s">
        <v>0</v>
      </c>
      <c r="B5" s="155" t="s">
        <v>1</v>
      </c>
      <c r="C5" s="155" t="s">
        <v>13</v>
      </c>
      <c r="D5" s="155"/>
      <c r="E5" s="82" t="s">
        <v>14</v>
      </c>
      <c r="F5" s="155" t="s">
        <v>15</v>
      </c>
      <c r="G5" s="157"/>
      <c r="H5" s="157"/>
    </row>
    <row r="6" spans="1:8" x14ac:dyDescent="0.25">
      <c r="A6" s="123"/>
      <c r="B6" s="155"/>
      <c r="C6" s="84" t="s">
        <v>11</v>
      </c>
      <c r="D6" s="84" t="s">
        <v>12</v>
      </c>
      <c r="E6" s="84" t="s">
        <v>11</v>
      </c>
      <c r="F6" s="84" t="s">
        <v>11</v>
      </c>
      <c r="G6" s="84" t="s">
        <v>11</v>
      </c>
      <c r="H6" s="84" t="s">
        <v>11</v>
      </c>
    </row>
    <row r="7" spans="1:8" x14ac:dyDescent="0.25">
      <c r="A7" s="85">
        <v>1</v>
      </c>
      <c r="B7" s="83">
        <v>2</v>
      </c>
      <c r="C7" s="83">
        <v>3</v>
      </c>
      <c r="D7" s="83">
        <v>4</v>
      </c>
      <c r="E7" s="83">
        <v>5</v>
      </c>
      <c r="F7" s="83">
        <v>6</v>
      </c>
      <c r="G7" s="83">
        <v>7</v>
      </c>
      <c r="H7" s="83">
        <v>8</v>
      </c>
    </row>
    <row r="8" spans="1:8" ht="42.75" x14ac:dyDescent="0.25">
      <c r="A8" s="23" t="s">
        <v>84</v>
      </c>
      <c r="B8" s="18" t="s">
        <v>83</v>
      </c>
      <c r="C8" s="90" t="e">
        <f>C9+C10+C11+C12+C13+C14+C16+C15+C17+C18+C19+C20+C21+C22+C23+C24+C25+C26+C27+C28+C29+C30+C31+C32+C33+C34</f>
        <v>#REF!</v>
      </c>
      <c r="D8" s="90" t="e">
        <f t="shared" ref="D8:H8" si="0">D9+D10+D11+D12+D13+D14+D16+D15+D17+D18+D19+D20+D21+D22+D23+D24+D25+D26+D27+D28+D29+D30+D31+D32+D33+D34</f>
        <v>#REF!</v>
      </c>
      <c r="E8" s="90" t="e">
        <f t="shared" si="0"/>
        <v>#REF!</v>
      </c>
      <c r="F8" s="90" t="e">
        <f t="shared" si="0"/>
        <v>#REF!</v>
      </c>
      <c r="G8" s="90" t="e">
        <f t="shared" si="0"/>
        <v>#REF!</v>
      </c>
      <c r="H8" s="90" t="e">
        <f t="shared" si="0"/>
        <v>#REF!</v>
      </c>
    </row>
    <row r="9" spans="1:8" ht="30" x14ac:dyDescent="0.25">
      <c r="A9" s="88" t="s">
        <v>18</v>
      </c>
      <c r="B9" s="80" t="s">
        <v>19</v>
      </c>
      <c r="C9" s="89">
        <f>Лист1!N11+Лист1!N99+Лист1!N132+Лист1!N146+Лист1!N160+Лист1!N172</f>
        <v>50524114.269999996</v>
      </c>
      <c r="D9" s="89">
        <f>Лист1!O11+Лист1!O99+Лист1!O132+Лист1!O146+Лист1!O160+Лист1!O172</f>
        <v>50255731.899999999</v>
      </c>
      <c r="E9" s="89">
        <f>Лист1!P11+Лист1!P99+Лист1!P132+Лист1!P146+Лист1!P160+Лист1!P172</f>
        <v>53474847.490000002</v>
      </c>
      <c r="F9" s="89">
        <f>Лист1!Q11+Лист1!Q99+Лист1!Q132+Лист1!Q146+Лист1!Q160+Лист1!Q172</f>
        <v>51694909</v>
      </c>
      <c r="G9" s="89">
        <f>Лист1!R11+Лист1!R99+Лист1!R132+Лист1!R146+Лист1!R160+Лист1!R172</f>
        <v>51165149</v>
      </c>
      <c r="H9" s="89">
        <f>Лист1!S11+Лист1!S99+Лист1!S132+Лист1!S146+Лист1!S160+Лист1!S172</f>
        <v>51165149</v>
      </c>
    </row>
    <row r="10" spans="1:8" ht="75" x14ac:dyDescent="0.25">
      <c r="A10" s="80" t="s">
        <v>38</v>
      </c>
      <c r="B10" s="80" t="s">
        <v>39</v>
      </c>
      <c r="C10" s="89">
        <f>Лист1!N16+Лист1!N101+Лист1!N134</f>
        <v>25843295.710000001</v>
      </c>
      <c r="D10" s="89">
        <f>Лист1!O16+Лист1!O101+Лист1!O134</f>
        <v>25803043.73</v>
      </c>
      <c r="E10" s="89">
        <f>Лист1!P16+Лист1!P101+Лист1!P134</f>
        <v>36934238</v>
      </c>
      <c r="F10" s="89">
        <f>Лист1!Q16+Лист1!Q101+Лист1!Q134</f>
        <v>35565097</v>
      </c>
      <c r="G10" s="89">
        <f>Лист1!R16+Лист1!R101+Лист1!R134</f>
        <v>35433097</v>
      </c>
      <c r="H10" s="89">
        <f>Лист1!S16+Лист1!S101+Лист1!S134</f>
        <v>35433097</v>
      </c>
    </row>
    <row r="11" spans="1:8" ht="75" x14ac:dyDescent="0.25">
      <c r="A11" s="80" t="s">
        <v>46</v>
      </c>
      <c r="B11" s="80" t="s">
        <v>47</v>
      </c>
      <c r="C11" s="89">
        <f>Лист1!N18</f>
        <v>270000</v>
      </c>
      <c r="D11" s="89">
        <f>Лист1!O18</f>
        <v>270000</v>
      </c>
      <c r="E11" s="89">
        <f>Лист1!P18</f>
        <v>0</v>
      </c>
      <c r="F11" s="89">
        <f>Лист1!Q18</f>
        <v>0</v>
      </c>
      <c r="G11" s="89">
        <f>Лист1!R18</f>
        <v>0</v>
      </c>
      <c r="H11" s="89">
        <f>Лист1!S18</f>
        <v>0</v>
      </c>
    </row>
    <row r="12" spans="1:8" ht="45" x14ac:dyDescent="0.25">
      <c r="A12" s="10" t="s">
        <v>52</v>
      </c>
      <c r="B12" s="10" t="s">
        <v>53</v>
      </c>
      <c r="C12" s="89" t="e">
        <f>Лист1!#REF!</f>
        <v>#REF!</v>
      </c>
      <c r="D12" s="89" t="e">
        <f>Лист1!#REF!</f>
        <v>#REF!</v>
      </c>
      <c r="E12" s="89" t="e">
        <f>Лист1!#REF!</f>
        <v>#REF!</v>
      </c>
      <c r="F12" s="89" t="e">
        <f>Лист1!#REF!</f>
        <v>#REF!</v>
      </c>
      <c r="G12" s="89" t="e">
        <f>Лист1!#REF!</f>
        <v>#REF!</v>
      </c>
      <c r="H12" s="89" t="e">
        <f>Лист1!#REF!</f>
        <v>#REF!</v>
      </c>
    </row>
    <row r="13" spans="1:8" ht="45" x14ac:dyDescent="0.25">
      <c r="A13" s="80" t="s">
        <v>182</v>
      </c>
      <c r="B13" s="80" t="s">
        <v>181</v>
      </c>
      <c r="C13" s="89">
        <f>Лист1!N52+Лист1!N176</f>
        <v>18492214.41</v>
      </c>
      <c r="D13" s="89">
        <f>Лист1!O52+Лист1!O176</f>
        <v>18487335.760000002</v>
      </c>
      <c r="E13" s="89">
        <f>Лист1!P52+Лист1!P176</f>
        <v>14964949</v>
      </c>
      <c r="F13" s="89">
        <f>Лист1!Q52+Лист1!Q176</f>
        <v>12998614</v>
      </c>
      <c r="G13" s="89">
        <f>Лист1!R52+Лист1!R176</f>
        <v>12968614</v>
      </c>
      <c r="H13" s="89">
        <f>Лист1!S52+Лист1!S176</f>
        <v>12968614</v>
      </c>
    </row>
    <row r="14" spans="1:8" ht="30" x14ac:dyDescent="0.25">
      <c r="A14" s="80" t="s">
        <v>135</v>
      </c>
      <c r="B14" s="80" t="s">
        <v>134</v>
      </c>
      <c r="C14" s="89">
        <f>Лист1!N40</f>
        <v>10396549.15</v>
      </c>
      <c r="D14" s="89">
        <f>Лист1!O40</f>
        <v>10276226.91</v>
      </c>
      <c r="E14" s="89">
        <f>Лист1!P40</f>
        <v>11956953.289999999</v>
      </c>
      <c r="F14" s="89">
        <f>Лист1!Q40</f>
        <v>10572219</v>
      </c>
      <c r="G14" s="89">
        <f>Лист1!R40</f>
        <v>10350774</v>
      </c>
      <c r="H14" s="89">
        <f>Лист1!S40</f>
        <v>10350774</v>
      </c>
    </row>
    <row r="15" spans="1:8" ht="45" x14ac:dyDescent="0.25">
      <c r="A15" s="80" t="s">
        <v>288</v>
      </c>
      <c r="B15" s="80" t="s">
        <v>287</v>
      </c>
      <c r="C15" s="89">
        <f>Лист1!N103</f>
        <v>7152896.46</v>
      </c>
      <c r="D15" s="89">
        <f>Лист1!O103</f>
        <v>7145056.46</v>
      </c>
      <c r="E15" s="89">
        <f>Лист1!P103</f>
        <v>1087982</v>
      </c>
      <c r="F15" s="89">
        <f>Лист1!Q103</f>
        <v>412000</v>
      </c>
      <c r="G15" s="89">
        <f>Лист1!R103</f>
        <v>270000</v>
      </c>
      <c r="H15" s="89">
        <f>Лист1!S103</f>
        <v>270000</v>
      </c>
    </row>
    <row r="16" spans="1:8" ht="105" x14ac:dyDescent="0.25">
      <c r="A16" s="80" t="s">
        <v>300</v>
      </c>
      <c r="B16" s="80" t="s">
        <v>301</v>
      </c>
      <c r="C16" s="89">
        <f>Лист1!N106</f>
        <v>136947437.25</v>
      </c>
      <c r="D16" s="89">
        <f>Лист1!O106</f>
        <v>136944876.49000001</v>
      </c>
      <c r="E16" s="89">
        <f>Лист1!P106</f>
        <v>134085315.76000001</v>
      </c>
      <c r="F16" s="89">
        <f>Лист1!Q106</f>
        <v>22786469</v>
      </c>
      <c r="G16" s="89">
        <f>Лист1!R106</f>
        <v>25313554</v>
      </c>
      <c r="H16" s="89">
        <f>Лист1!S106</f>
        <v>25313554</v>
      </c>
    </row>
    <row r="17" spans="1:8" ht="75" x14ac:dyDescent="0.25">
      <c r="A17" s="80" t="s">
        <v>55</v>
      </c>
      <c r="B17" s="80" t="s">
        <v>56</v>
      </c>
      <c r="C17" s="89">
        <f>Лист1!N20+Лист1!N44+Лист1!N56+Лист1!N109</f>
        <v>46945836.979999997</v>
      </c>
      <c r="D17" s="89">
        <f>Лист1!O20+Лист1!O44+Лист1!O56+Лист1!O109</f>
        <v>46906008.529999994</v>
      </c>
      <c r="E17" s="89">
        <f>Лист1!P20+Лист1!P44+Лист1!P56+Лист1!P109</f>
        <v>13035998.310000001</v>
      </c>
      <c r="F17" s="89">
        <f>Лист1!Q20+Лист1!Q44+Лист1!Q56+Лист1!Q109</f>
        <v>9805110</v>
      </c>
      <c r="G17" s="89">
        <f>Лист1!R20+Лист1!R44+Лист1!R56+Лист1!R109</f>
        <v>9681939</v>
      </c>
      <c r="H17" s="89">
        <f>Лист1!S20+Лист1!S44+Лист1!S56+Лист1!S109</f>
        <v>9681939</v>
      </c>
    </row>
    <row r="18" spans="1:8" ht="30" x14ac:dyDescent="0.25">
      <c r="A18" s="80" t="s">
        <v>316</v>
      </c>
      <c r="B18" s="80" t="s">
        <v>315</v>
      </c>
      <c r="C18" s="89">
        <f>Лист1!N111</f>
        <v>32677600</v>
      </c>
      <c r="D18" s="89">
        <f>Лист1!O111</f>
        <v>32677600</v>
      </c>
      <c r="E18" s="89">
        <f>Лист1!P111</f>
        <v>33322000</v>
      </c>
      <c r="F18" s="89">
        <f>Лист1!Q111</f>
        <v>33322000</v>
      </c>
      <c r="G18" s="89">
        <f>Лист1!R111</f>
        <v>33322000</v>
      </c>
      <c r="H18" s="89">
        <f>Лист1!S111</f>
        <v>33322000</v>
      </c>
    </row>
    <row r="19" spans="1:8" ht="30" x14ac:dyDescent="0.25">
      <c r="A19" s="80" t="s">
        <v>192</v>
      </c>
      <c r="B19" s="80" t="s">
        <v>193</v>
      </c>
      <c r="C19" s="89">
        <f>Лист1!N59</f>
        <v>31845767</v>
      </c>
      <c r="D19" s="89">
        <f>Лист1!O59</f>
        <v>31769959.059999999</v>
      </c>
      <c r="E19" s="89">
        <f>Лист1!P59</f>
        <v>25647661</v>
      </c>
      <c r="F19" s="89">
        <f>Лист1!Q59</f>
        <v>24134888</v>
      </c>
      <c r="G19" s="89">
        <f>Лист1!R59</f>
        <v>23825063</v>
      </c>
      <c r="H19" s="89">
        <f>Лист1!S59</f>
        <v>23816063</v>
      </c>
    </row>
    <row r="20" spans="1:8" x14ac:dyDescent="0.25">
      <c r="A20" s="80" t="s">
        <v>208</v>
      </c>
      <c r="B20" s="80" t="s">
        <v>209</v>
      </c>
      <c r="C20" s="89">
        <f>Лист1!N63</f>
        <v>200000</v>
      </c>
      <c r="D20" s="89">
        <f>Лист1!O63</f>
        <v>199976</v>
      </c>
      <c r="E20" s="89">
        <f>Лист1!P63</f>
        <v>10300000</v>
      </c>
      <c r="F20" s="89">
        <f>Лист1!Q63</f>
        <v>200000</v>
      </c>
      <c r="G20" s="89">
        <f>Лист1!R63</f>
        <v>200000</v>
      </c>
      <c r="H20" s="89">
        <f>Лист1!S63</f>
        <v>200000</v>
      </c>
    </row>
    <row r="21" spans="1:8" ht="165" x14ac:dyDescent="0.25">
      <c r="A21" s="80" t="s">
        <v>220</v>
      </c>
      <c r="B21" s="80" t="s">
        <v>219</v>
      </c>
      <c r="C21" s="89" t="e">
        <f>Лист1!N68+Лист1!#REF!+Лист1!N136+Лист1!N148+Лист1!#REF!</f>
        <v>#REF!</v>
      </c>
      <c r="D21" s="89" t="e">
        <f>Лист1!O68+Лист1!#REF!+Лист1!O136+Лист1!O148+Лист1!#REF!</f>
        <v>#REF!</v>
      </c>
      <c r="E21" s="89" t="e">
        <f>Лист1!P68+Лист1!#REF!+Лист1!P136+Лист1!P148+Лист1!#REF!</f>
        <v>#REF!</v>
      </c>
      <c r="F21" s="89" t="e">
        <f>Лист1!Q68+Лист1!#REF!+Лист1!Q136+Лист1!Q148+Лист1!#REF!</f>
        <v>#REF!</v>
      </c>
      <c r="G21" s="89" t="e">
        <f>Лист1!R68+Лист1!#REF!+Лист1!R136+Лист1!R148+Лист1!#REF!</f>
        <v>#REF!</v>
      </c>
      <c r="H21" s="89" t="e">
        <f>Лист1!S68+Лист1!#REF!+Лист1!S136+Лист1!S148+Лист1!#REF!</f>
        <v>#REF!</v>
      </c>
    </row>
    <row r="22" spans="1:8" ht="30" x14ac:dyDescent="0.25">
      <c r="A22" s="80" t="s">
        <v>326</v>
      </c>
      <c r="B22" s="80" t="s">
        <v>327</v>
      </c>
      <c r="C22" s="89">
        <f>Лист1!N113</f>
        <v>7255600</v>
      </c>
      <c r="D22" s="89">
        <f>Лист1!O113</f>
        <v>7255600</v>
      </c>
      <c r="E22" s="89">
        <f>Лист1!P113</f>
        <v>7255600</v>
      </c>
      <c r="F22" s="89">
        <f>Лист1!Q113</f>
        <v>7255600</v>
      </c>
      <c r="G22" s="89">
        <f>Лист1!R113</f>
        <v>7255600</v>
      </c>
      <c r="H22" s="89">
        <f>Лист1!S113</f>
        <v>7255600</v>
      </c>
    </row>
    <row r="23" spans="1:8" ht="30" x14ac:dyDescent="0.25">
      <c r="A23" s="80" t="s">
        <v>415</v>
      </c>
      <c r="B23" s="80" t="s">
        <v>414</v>
      </c>
      <c r="C23" s="89">
        <f>Лист1!N150</f>
        <v>30980934.149999999</v>
      </c>
      <c r="D23" s="89">
        <f>Лист1!O150</f>
        <v>30964877.800000001</v>
      </c>
      <c r="E23" s="89">
        <f>Лист1!P150</f>
        <v>27679888</v>
      </c>
      <c r="F23" s="89">
        <f>Лист1!Q150</f>
        <v>21957801</v>
      </c>
      <c r="G23" s="89">
        <f>Лист1!R150</f>
        <v>21657801</v>
      </c>
      <c r="H23" s="89">
        <f>Лист1!S150</f>
        <v>21657801</v>
      </c>
    </row>
    <row r="24" spans="1:8" ht="30" x14ac:dyDescent="0.25">
      <c r="A24" s="80" t="s">
        <v>432</v>
      </c>
      <c r="B24" s="80" t="s">
        <v>433</v>
      </c>
      <c r="C24" s="89">
        <f>Лист1!N154</f>
        <v>38704773.960000001</v>
      </c>
      <c r="D24" s="89">
        <f>Лист1!O154</f>
        <v>38683340.640000001</v>
      </c>
      <c r="E24" s="89">
        <f>Лист1!P154</f>
        <v>33414952</v>
      </c>
      <c r="F24" s="89">
        <f>Лист1!Q154</f>
        <v>26964662</v>
      </c>
      <c r="G24" s="89">
        <f>Лист1!R154</f>
        <v>26185057</v>
      </c>
      <c r="H24" s="89">
        <f>Лист1!S154</f>
        <v>26024757</v>
      </c>
    </row>
    <row r="25" spans="1:8" ht="45" x14ac:dyDescent="0.25">
      <c r="A25" s="80" t="s">
        <v>405</v>
      </c>
      <c r="B25" s="80" t="s">
        <v>404</v>
      </c>
      <c r="C25" s="89">
        <f>Лист1!N139+Лист1!N115</f>
        <v>20270574</v>
      </c>
      <c r="D25" s="89">
        <f>Лист1!O139+Лист1!O115</f>
        <v>19982586.41</v>
      </c>
      <c r="E25" s="89">
        <f>Лист1!P139+Лист1!P115</f>
        <v>63601572</v>
      </c>
      <c r="F25" s="89">
        <f>Лист1!Q139+Лист1!Q115</f>
        <v>59201185</v>
      </c>
      <c r="G25" s="89">
        <f>Лист1!R139+Лист1!R115</f>
        <v>56271403</v>
      </c>
      <c r="H25" s="89">
        <f>Лист1!S139+Лист1!S115</f>
        <v>56271403</v>
      </c>
    </row>
    <row r="26" spans="1:8" ht="30" x14ac:dyDescent="0.25">
      <c r="A26" s="80" t="s">
        <v>330</v>
      </c>
      <c r="B26" s="80" t="s">
        <v>331</v>
      </c>
      <c r="C26" s="89">
        <f>Лист1!N117</f>
        <v>177290</v>
      </c>
      <c r="D26" s="89">
        <f>Лист1!O117</f>
        <v>177290</v>
      </c>
      <c r="E26" s="89">
        <f>Лист1!P117</f>
        <v>120800</v>
      </c>
      <c r="F26" s="89">
        <f>Лист1!Q117</f>
        <v>40000</v>
      </c>
      <c r="G26" s="89">
        <f>Лист1!R117</f>
        <v>40000</v>
      </c>
      <c r="H26" s="89">
        <f>Лист1!S117</f>
        <v>40000</v>
      </c>
    </row>
    <row r="27" spans="1:8" x14ac:dyDescent="0.25">
      <c r="A27" s="80" t="s">
        <v>62</v>
      </c>
      <c r="B27" s="80" t="s">
        <v>61</v>
      </c>
      <c r="C27" s="89">
        <f>Лист1!N22</f>
        <v>2473449.4700000002</v>
      </c>
      <c r="D27" s="89">
        <f>Лист1!O22</f>
        <v>2472995.12</v>
      </c>
      <c r="E27" s="89">
        <f>Лист1!P22</f>
        <v>2947119</v>
      </c>
      <c r="F27" s="89">
        <f>Лист1!Q22</f>
        <v>2572080</v>
      </c>
      <c r="G27" s="89">
        <f>Лист1!R22</f>
        <v>2572080</v>
      </c>
      <c r="H27" s="89">
        <f>Лист1!S22</f>
        <v>2572080</v>
      </c>
    </row>
    <row r="28" spans="1:8" x14ac:dyDescent="0.25">
      <c r="A28" s="80" t="s">
        <v>339</v>
      </c>
      <c r="B28" s="80" t="s">
        <v>340</v>
      </c>
      <c r="C28" s="89">
        <f>Лист1!N119</f>
        <v>499300</v>
      </c>
      <c r="D28" s="89">
        <f>Лист1!O119</f>
        <v>499300</v>
      </c>
      <c r="E28" s="89">
        <f>Лист1!P119</f>
        <v>500000</v>
      </c>
      <c r="F28" s="89">
        <f>Лист1!Q119</f>
        <v>500000</v>
      </c>
      <c r="G28" s="89">
        <f>Лист1!R119</f>
        <v>500000</v>
      </c>
      <c r="H28" s="89">
        <f>Лист1!S119</f>
        <v>500000</v>
      </c>
    </row>
    <row r="29" spans="1:8" ht="26.25" customHeight="1" x14ac:dyDescent="0.25">
      <c r="A29" s="80" t="s">
        <v>351</v>
      </c>
      <c r="B29" s="80" t="s">
        <v>352</v>
      </c>
      <c r="C29" s="89">
        <f>Лист1!N121</f>
        <v>0</v>
      </c>
      <c r="D29" s="89">
        <f>Лист1!O121</f>
        <v>0</v>
      </c>
      <c r="E29" s="89">
        <f>Лист1!P121</f>
        <v>100000</v>
      </c>
      <c r="F29" s="89">
        <f>Лист1!Q121</f>
        <v>416193</v>
      </c>
      <c r="G29" s="89">
        <f>Лист1!R121</f>
        <v>0</v>
      </c>
      <c r="H29" s="89">
        <f>Лист1!S121</f>
        <v>0</v>
      </c>
    </row>
    <row r="30" spans="1:8" ht="165" x14ac:dyDescent="0.25">
      <c r="A30" s="80" t="s">
        <v>368</v>
      </c>
      <c r="B30" s="80" t="s">
        <v>369</v>
      </c>
      <c r="C30" s="89">
        <f>Лист1!N124</f>
        <v>91565215.5</v>
      </c>
      <c r="D30" s="89">
        <f>Лист1!O124</f>
        <v>91565077.729999989</v>
      </c>
      <c r="E30" s="89">
        <f>Лист1!P124</f>
        <v>85225903.890000001</v>
      </c>
      <c r="F30" s="89">
        <f>Лист1!Q124</f>
        <v>42313807</v>
      </c>
      <c r="G30" s="89">
        <f>Лист1!R124</f>
        <v>40770000</v>
      </c>
      <c r="H30" s="89">
        <f>Лист1!S124</f>
        <v>40770000</v>
      </c>
    </row>
    <row r="31" spans="1:8" ht="180" x14ac:dyDescent="0.25">
      <c r="A31" s="80" t="s">
        <v>162</v>
      </c>
      <c r="B31" s="80" t="s">
        <v>161</v>
      </c>
      <c r="C31" s="89">
        <f>Лист1!N162+Лист1!N45</f>
        <v>485749.53</v>
      </c>
      <c r="D31" s="89">
        <f>Лист1!O162+Лист1!O45</f>
        <v>485749.53</v>
      </c>
      <c r="E31" s="89">
        <f>Лист1!P162+Лист1!P45</f>
        <v>5413843</v>
      </c>
      <c r="F31" s="89">
        <f>Лист1!Q162+Лист1!Q45</f>
        <v>880553</v>
      </c>
      <c r="G31" s="89">
        <f>Лист1!R162+Лист1!R45</f>
        <v>728440</v>
      </c>
      <c r="H31" s="89">
        <f>Лист1!S162+Лист1!S45</f>
        <v>728440</v>
      </c>
    </row>
    <row r="32" spans="1:8" ht="30" x14ac:dyDescent="0.25">
      <c r="A32" s="80" t="s">
        <v>446</v>
      </c>
      <c r="B32" s="80" t="s">
        <v>445</v>
      </c>
      <c r="C32" s="89">
        <f>Лист1!N164</f>
        <v>168500</v>
      </c>
      <c r="D32" s="89">
        <f>Лист1!O164</f>
        <v>168500</v>
      </c>
      <c r="E32" s="89">
        <f>Лист1!P164</f>
        <v>300000</v>
      </c>
      <c r="F32" s="89">
        <f>Лист1!Q164</f>
        <v>200000</v>
      </c>
      <c r="G32" s="89">
        <f>Лист1!R164</f>
        <v>225000</v>
      </c>
      <c r="H32" s="89">
        <f>Лист1!S164</f>
        <v>225000</v>
      </c>
    </row>
    <row r="33" spans="1:8" ht="60" x14ac:dyDescent="0.25">
      <c r="A33" s="81" t="s">
        <v>67</v>
      </c>
      <c r="B33" s="80" t="s">
        <v>66</v>
      </c>
      <c r="C33" s="89">
        <f>Лист1!N24+Лист1!N166</f>
        <v>2616000</v>
      </c>
      <c r="D33" s="89">
        <f>Лист1!O24+Лист1!O166</f>
        <v>2616000</v>
      </c>
      <c r="E33" s="89">
        <f>Лист1!P24+Лист1!P166</f>
        <v>599500</v>
      </c>
      <c r="F33" s="89">
        <f>Лист1!Q24+Лист1!Q166</f>
        <v>599500</v>
      </c>
      <c r="G33" s="89">
        <f>Лист1!R24+Лист1!R166</f>
        <v>599500</v>
      </c>
      <c r="H33" s="89">
        <f>Лист1!S24+Лист1!S166</f>
        <v>599500</v>
      </c>
    </row>
    <row r="34" spans="1:8" ht="30" x14ac:dyDescent="0.25">
      <c r="A34" s="80" t="s">
        <v>396</v>
      </c>
      <c r="B34" s="79" t="s">
        <v>395</v>
      </c>
      <c r="C34" s="89">
        <f>Лист1!N141</f>
        <v>11874084.66</v>
      </c>
      <c r="D34" s="89">
        <f>Лист1!O141</f>
        <v>10772421.07</v>
      </c>
      <c r="E34" s="89">
        <f>Лист1!P141</f>
        <v>14221175</v>
      </c>
      <c r="F34" s="89">
        <f>Лист1!Q141</f>
        <v>11242860</v>
      </c>
      <c r="G34" s="89">
        <f>Лист1!R141</f>
        <v>11177628</v>
      </c>
      <c r="H34" s="89">
        <f>Лист1!S141</f>
        <v>11177628</v>
      </c>
    </row>
    <row r="35" spans="1:8" ht="57" x14ac:dyDescent="0.25">
      <c r="A35" s="18" t="s">
        <v>82</v>
      </c>
      <c r="B35" s="18" t="s">
        <v>81</v>
      </c>
      <c r="C35" s="90" t="e">
        <f>SUM(C36:C53)</f>
        <v>#REF!</v>
      </c>
      <c r="D35" s="90" t="e">
        <f t="shared" ref="D35:H35" si="1">SUM(D36:D53)</f>
        <v>#REF!</v>
      </c>
      <c r="E35" s="90" t="e">
        <f t="shared" si="1"/>
        <v>#REF!</v>
      </c>
      <c r="F35" s="90" t="e">
        <f t="shared" si="1"/>
        <v>#REF!</v>
      </c>
      <c r="G35" s="90" t="e">
        <f t="shared" si="1"/>
        <v>#REF!</v>
      </c>
      <c r="H35" s="90" t="e">
        <f t="shared" si="1"/>
        <v>#REF!</v>
      </c>
    </row>
    <row r="36" spans="1:8" ht="105" x14ac:dyDescent="0.25">
      <c r="A36" s="80" t="s">
        <v>239</v>
      </c>
      <c r="B36" s="80" t="s">
        <v>238</v>
      </c>
      <c r="C36" s="89">
        <f>Лист1!N78</f>
        <v>418583084</v>
      </c>
      <c r="D36" s="89">
        <f>Лист1!O78</f>
        <v>418583084</v>
      </c>
      <c r="E36" s="89">
        <f>Лист1!P78</f>
        <v>422186100</v>
      </c>
      <c r="F36" s="89">
        <f>Лист1!Q78</f>
        <v>407251500</v>
      </c>
      <c r="G36" s="89">
        <f>Лист1!R78</f>
        <v>407251500</v>
      </c>
      <c r="H36" s="89">
        <f>Лист1!S78</f>
        <v>404233000</v>
      </c>
    </row>
    <row r="37" spans="1:8" ht="90" x14ac:dyDescent="0.25">
      <c r="A37" s="10" t="s">
        <v>246</v>
      </c>
      <c r="B37" s="10" t="s">
        <v>247</v>
      </c>
      <c r="C37" s="89">
        <f>Лист1!N80</f>
        <v>29089300</v>
      </c>
      <c r="D37" s="89">
        <f>Лист1!O80</f>
        <v>28385192.780000001</v>
      </c>
      <c r="E37" s="89">
        <f>Лист1!P80</f>
        <v>33296000</v>
      </c>
      <c r="F37" s="89">
        <f>Лист1!Q80</f>
        <v>33296000</v>
      </c>
      <c r="G37" s="89">
        <f>Лист1!R80</f>
        <v>33296000</v>
      </c>
      <c r="H37" s="89">
        <f>Лист1!S80</f>
        <v>33296000</v>
      </c>
    </row>
    <row r="38" spans="1:8" ht="105" x14ac:dyDescent="0.25">
      <c r="A38" s="10" t="s">
        <v>255</v>
      </c>
      <c r="B38" s="10" t="s">
        <v>256</v>
      </c>
      <c r="C38" s="89">
        <f>Лист1!N81</f>
        <v>2122600</v>
      </c>
      <c r="D38" s="89">
        <f>Лист1!O81</f>
        <v>2073004.41</v>
      </c>
      <c r="E38" s="89">
        <f>Лист1!P81</f>
        <v>2677000</v>
      </c>
      <c r="F38" s="89">
        <f>Лист1!Q81</f>
        <v>2677000</v>
      </c>
      <c r="G38" s="89">
        <f>Лист1!R81</f>
        <v>2677000</v>
      </c>
      <c r="H38" s="89">
        <f>Лист1!S81</f>
        <v>2677000</v>
      </c>
    </row>
    <row r="39" spans="1:8" ht="75" x14ac:dyDescent="0.25">
      <c r="A39" s="80" t="s">
        <v>262</v>
      </c>
      <c r="B39" s="80" t="s">
        <v>263</v>
      </c>
      <c r="C39" s="89">
        <f>Лист1!N82</f>
        <v>10302400</v>
      </c>
      <c r="D39" s="89">
        <f>Лист1!O82</f>
        <v>10302399.789999999</v>
      </c>
      <c r="E39" s="89">
        <f>Лист1!P82</f>
        <v>9990900</v>
      </c>
      <c r="F39" s="89">
        <f>Лист1!Q82</f>
        <v>9990900</v>
      </c>
      <c r="G39" s="89">
        <f>Лист1!R82</f>
        <v>9990900</v>
      </c>
      <c r="H39" s="89">
        <f>Лист1!S82</f>
        <v>9990900</v>
      </c>
    </row>
    <row r="40" spans="1:8" ht="90" x14ac:dyDescent="0.25">
      <c r="A40" s="80" t="s">
        <v>270</v>
      </c>
      <c r="B40" s="80" t="s">
        <v>269</v>
      </c>
      <c r="C40" s="89">
        <f>Лист1!N84</f>
        <v>315221600</v>
      </c>
      <c r="D40" s="89">
        <f>Лист1!O84</f>
        <v>315219692.58999997</v>
      </c>
      <c r="E40" s="89">
        <f>Лист1!P84</f>
        <v>325467500</v>
      </c>
      <c r="F40" s="89">
        <f>Лист1!Q84</f>
        <v>314363300</v>
      </c>
      <c r="G40" s="89">
        <f>Лист1!R84</f>
        <v>314363300</v>
      </c>
      <c r="H40" s="89">
        <f>Лист1!S84</f>
        <v>314363300</v>
      </c>
    </row>
    <row r="41" spans="1:8" ht="60" x14ac:dyDescent="0.25">
      <c r="A41" s="10" t="s">
        <v>274</v>
      </c>
      <c r="B41" s="10" t="s">
        <v>275</v>
      </c>
      <c r="C41" s="89">
        <f>Лист1!N86</f>
        <v>3238700</v>
      </c>
      <c r="D41" s="89">
        <f>Лист1!O86</f>
        <v>3238373.99</v>
      </c>
      <c r="E41" s="89">
        <f>Лист1!P86</f>
        <v>5051970</v>
      </c>
      <c r="F41" s="89">
        <f>Лист1!Q86</f>
        <v>5958900</v>
      </c>
      <c r="G41" s="89">
        <f>Лист1!R86</f>
        <v>5958900</v>
      </c>
      <c r="H41" s="89">
        <f>Лист1!S86</f>
        <v>5958900</v>
      </c>
    </row>
    <row r="42" spans="1:8" ht="75" x14ac:dyDescent="0.25">
      <c r="A42" s="80" t="s">
        <v>170</v>
      </c>
      <c r="B42" s="80" t="s">
        <v>171</v>
      </c>
      <c r="C42" s="89">
        <f>Лист1!N48</f>
        <v>92854900</v>
      </c>
      <c r="D42" s="89">
        <f>Лист1!O48</f>
        <v>92555320</v>
      </c>
      <c r="E42" s="89">
        <f>Лист1!P48</f>
        <v>98220700</v>
      </c>
      <c r="F42" s="89">
        <f>Лист1!Q48</f>
        <v>34104400</v>
      </c>
      <c r="G42" s="89">
        <f>Лист1!R48</f>
        <v>31376100</v>
      </c>
      <c r="H42" s="89">
        <f>Лист1!S48</f>
        <v>30011900</v>
      </c>
    </row>
    <row r="43" spans="1:8" ht="90" x14ac:dyDescent="0.25">
      <c r="A43" s="80" t="s">
        <v>467</v>
      </c>
      <c r="B43" s="10" t="s">
        <v>466</v>
      </c>
      <c r="C43" s="89">
        <f>Лист1!N89</f>
        <v>192190.17</v>
      </c>
      <c r="D43" s="89">
        <f>Лист1!O89</f>
        <v>192190.17</v>
      </c>
      <c r="E43" s="89">
        <f>Лист1!P89</f>
        <v>192200</v>
      </c>
      <c r="F43" s="89">
        <f>Лист1!Q89</f>
        <v>192200</v>
      </c>
      <c r="G43" s="89">
        <f>Лист1!R89</f>
        <v>192200</v>
      </c>
      <c r="H43" s="89">
        <f>Лист1!S89</f>
        <v>192200</v>
      </c>
    </row>
    <row r="44" spans="1:8" ht="105" x14ac:dyDescent="0.25">
      <c r="A44" s="10" t="s">
        <v>477</v>
      </c>
      <c r="B44" s="10" t="s">
        <v>476</v>
      </c>
      <c r="C44" s="89">
        <f>Лист1!N91</f>
        <v>66380600</v>
      </c>
      <c r="D44" s="89">
        <f>Лист1!O91</f>
        <v>66317421.909999996</v>
      </c>
      <c r="E44" s="89">
        <f>Лист1!P91</f>
        <v>70100290</v>
      </c>
      <c r="F44" s="89">
        <f>Лист1!Q91</f>
        <v>56613600</v>
      </c>
      <c r="G44" s="89">
        <f>Лист1!R91</f>
        <v>56613600</v>
      </c>
      <c r="H44" s="89">
        <f>Лист1!S91</f>
        <v>56613600</v>
      </c>
    </row>
    <row r="45" spans="1:8" ht="75" x14ac:dyDescent="0.25">
      <c r="A45" s="80" t="s">
        <v>483</v>
      </c>
      <c r="B45" s="80" t="s">
        <v>484</v>
      </c>
      <c r="C45" s="89">
        <f>Лист1!N92</f>
        <v>33190800</v>
      </c>
      <c r="D45" s="89">
        <f>Лист1!O92</f>
        <v>33190289.48</v>
      </c>
      <c r="E45" s="89">
        <f>Лист1!P92</f>
        <v>34490250</v>
      </c>
      <c r="F45" s="89">
        <f>Лист1!Q92</f>
        <v>33291900</v>
      </c>
      <c r="G45" s="89">
        <f>Лист1!R92</f>
        <v>33291900</v>
      </c>
      <c r="H45" s="89">
        <f>Лист1!S92</f>
        <v>33291900</v>
      </c>
    </row>
    <row r="46" spans="1:8" ht="75" x14ac:dyDescent="0.25">
      <c r="A46" s="10" t="s">
        <v>376</v>
      </c>
      <c r="B46" s="10" t="s">
        <v>377</v>
      </c>
      <c r="C46" s="89">
        <f>Лист1!N128</f>
        <v>105672200</v>
      </c>
      <c r="D46" s="89">
        <f>Лист1!O128</f>
        <v>90293531.599999994</v>
      </c>
      <c r="E46" s="89">
        <f>Лист1!P128</f>
        <v>95899100</v>
      </c>
      <c r="F46" s="89">
        <f>Лист1!Q128</f>
        <v>95899100</v>
      </c>
      <c r="G46" s="89">
        <f>Лист1!R128</f>
        <v>95899100</v>
      </c>
      <c r="H46" s="89">
        <f>Лист1!S128</f>
        <v>95899100</v>
      </c>
    </row>
    <row r="47" spans="1:8" ht="75" x14ac:dyDescent="0.25">
      <c r="A47" s="10" t="s">
        <v>383</v>
      </c>
      <c r="B47" s="10" t="s">
        <v>384</v>
      </c>
      <c r="C47" s="89">
        <f>Лист1!N129</f>
        <v>1014900</v>
      </c>
      <c r="D47" s="89">
        <f>Лист1!O129</f>
        <v>1014365.4</v>
      </c>
      <c r="E47" s="89">
        <f>Лист1!P129</f>
        <v>1216300</v>
      </c>
      <c r="F47" s="89">
        <f>Лист1!Q129</f>
        <v>1216300</v>
      </c>
      <c r="G47" s="89">
        <f>Лист1!R129</f>
        <v>1216300</v>
      </c>
      <c r="H47" s="89">
        <f>Лист1!S129</f>
        <v>1216300</v>
      </c>
    </row>
    <row r="48" spans="1:8" ht="45" x14ac:dyDescent="0.25">
      <c r="A48" s="10" t="s">
        <v>86</v>
      </c>
      <c r="B48" s="10" t="s">
        <v>85</v>
      </c>
      <c r="C48" s="89">
        <f>Лист1!N30</f>
        <v>224800</v>
      </c>
      <c r="D48" s="89">
        <f>Лист1!O30</f>
        <v>224284.19</v>
      </c>
      <c r="E48" s="89">
        <f>Лист1!P30</f>
        <v>238000</v>
      </c>
      <c r="F48" s="89">
        <f>Лист1!Q30</f>
        <v>230600</v>
      </c>
      <c r="G48" s="89">
        <f>Лист1!R30</f>
        <v>230600</v>
      </c>
      <c r="H48" s="89">
        <f>Лист1!S30</f>
        <v>230600</v>
      </c>
    </row>
    <row r="49" spans="1:8" ht="75" x14ac:dyDescent="0.25">
      <c r="A49" s="10" t="s">
        <v>95</v>
      </c>
      <c r="B49" s="10" t="s">
        <v>94</v>
      </c>
      <c r="C49" s="89">
        <f>Лист1!N31</f>
        <v>149100</v>
      </c>
      <c r="D49" s="89">
        <f>Лист1!O31</f>
        <v>149099.6</v>
      </c>
      <c r="E49" s="89">
        <f>Лист1!P31</f>
        <v>129100</v>
      </c>
      <c r="F49" s="89">
        <f>Лист1!Q31</f>
        <v>124400</v>
      </c>
      <c r="G49" s="89">
        <f>Лист1!R31</f>
        <v>124400</v>
      </c>
      <c r="H49" s="89">
        <f>Лист1!S31</f>
        <v>124400</v>
      </c>
    </row>
    <row r="50" spans="1:8" ht="75" x14ac:dyDescent="0.25">
      <c r="A50" s="80" t="s">
        <v>104</v>
      </c>
      <c r="B50" s="80" t="s">
        <v>103</v>
      </c>
      <c r="C50" s="89">
        <f>Лист1!N32</f>
        <v>1533300</v>
      </c>
      <c r="D50" s="89">
        <f>Лист1!O32</f>
        <v>1481963.03</v>
      </c>
      <c r="E50" s="89">
        <f>Лист1!P32</f>
        <v>1594500</v>
      </c>
      <c r="F50" s="89">
        <f>Лист1!Q32</f>
        <v>1535700</v>
      </c>
      <c r="G50" s="89">
        <f>Лист1!R32</f>
        <v>1535700</v>
      </c>
      <c r="H50" s="89">
        <f>Лист1!S32</f>
        <v>1535700</v>
      </c>
    </row>
    <row r="51" spans="1:8" ht="60" x14ac:dyDescent="0.25">
      <c r="A51" s="80" t="s">
        <v>114</v>
      </c>
      <c r="B51" s="80" t="s">
        <v>113</v>
      </c>
      <c r="C51" s="89">
        <f>Лист1!N34</f>
        <v>401800</v>
      </c>
      <c r="D51" s="89">
        <f>Лист1!O34</f>
        <v>384635.58</v>
      </c>
      <c r="E51" s="89">
        <f>Лист1!P34</f>
        <v>552700</v>
      </c>
      <c r="F51" s="89">
        <f>Лист1!Q34</f>
        <v>533000</v>
      </c>
      <c r="G51" s="89">
        <f>Лист1!R34</f>
        <v>533000</v>
      </c>
      <c r="H51" s="89">
        <f>Лист1!S34</f>
        <v>533000</v>
      </c>
    </row>
    <row r="52" spans="1:8" ht="60" x14ac:dyDescent="0.25">
      <c r="A52" s="80" t="s">
        <v>121</v>
      </c>
      <c r="B52" s="80" t="s">
        <v>123</v>
      </c>
      <c r="C52" s="89">
        <f>Лист1!N36</f>
        <v>0</v>
      </c>
      <c r="D52" s="89">
        <f>Лист1!O36</f>
        <v>0</v>
      </c>
      <c r="E52" s="89">
        <f>Лист1!P36</f>
        <v>214400</v>
      </c>
      <c r="F52" s="89">
        <f>Лист1!Q36</f>
        <v>14300</v>
      </c>
      <c r="G52" s="89">
        <f>Лист1!R36</f>
        <v>23100</v>
      </c>
      <c r="H52" s="89">
        <f>Лист1!S36</f>
        <v>23100</v>
      </c>
    </row>
    <row r="53" spans="1:8" ht="30" x14ac:dyDescent="0.25">
      <c r="A53" s="10" t="s">
        <v>130</v>
      </c>
      <c r="B53" s="10" t="s">
        <v>129</v>
      </c>
      <c r="C53" s="89" t="e">
        <f>Лист1!#REF!</f>
        <v>#REF!</v>
      </c>
      <c r="D53" s="89" t="e">
        <f>Лист1!#REF!</f>
        <v>#REF!</v>
      </c>
      <c r="E53" s="89" t="e">
        <f>Лист1!#REF!</f>
        <v>#REF!</v>
      </c>
      <c r="F53" s="89" t="e">
        <f>Лист1!#REF!</f>
        <v>#REF!</v>
      </c>
      <c r="G53" s="89" t="e">
        <f>Лист1!#REF!</f>
        <v>#REF!</v>
      </c>
      <c r="H53" s="89" t="e">
        <f>Лист1!#REF!</f>
        <v>#REF!</v>
      </c>
    </row>
    <row r="54" spans="1:8" ht="71.25" x14ac:dyDescent="0.25">
      <c r="A54" s="18" t="s">
        <v>490</v>
      </c>
      <c r="B54" s="18" t="s">
        <v>489</v>
      </c>
      <c r="C54" s="90" t="e">
        <f>C55</f>
        <v>#REF!</v>
      </c>
      <c r="D54" s="90" t="e">
        <f t="shared" ref="D54:H54" si="2">D55</f>
        <v>#REF!</v>
      </c>
      <c r="E54" s="90" t="e">
        <f t="shared" si="2"/>
        <v>#REF!</v>
      </c>
      <c r="F54" s="90" t="e">
        <f t="shared" si="2"/>
        <v>#REF!</v>
      </c>
      <c r="G54" s="90" t="e">
        <f t="shared" si="2"/>
        <v>#REF!</v>
      </c>
      <c r="H54" s="90" t="e">
        <f t="shared" si="2"/>
        <v>#REF!</v>
      </c>
    </row>
    <row r="55" spans="1:8" ht="57" x14ac:dyDescent="0.25">
      <c r="A55" s="18" t="s">
        <v>492</v>
      </c>
      <c r="B55" s="18" t="s">
        <v>491</v>
      </c>
      <c r="C55" s="89" t="e">
        <f>C56+C57</f>
        <v>#REF!</v>
      </c>
      <c r="D55" s="89" t="e">
        <f t="shared" ref="D55:H55" si="3">D56+D57</f>
        <v>#REF!</v>
      </c>
      <c r="E55" s="89" t="e">
        <f t="shared" si="3"/>
        <v>#REF!</v>
      </c>
      <c r="F55" s="89" t="e">
        <f t="shared" si="3"/>
        <v>#REF!</v>
      </c>
      <c r="G55" s="89" t="e">
        <f t="shared" si="3"/>
        <v>#REF!</v>
      </c>
      <c r="H55" s="89" t="e">
        <f t="shared" si="3"/>
        <v>#REF!</v>
      </c>
    </row>
    <row r="56" spans="1:8" ht="30" x14ac:dyDescent="0.25">
      <c r="A56" s="10" t="s">
        <v>494</v>
      </c>
      <c r="B56" s="10" t="s">
        <v>493</v>
      </c>
      <c r="C56" s="89">
        <f>Лист1!N95</f>
        <v>364031.29</v>
      </c>
      <c r="D56" s="89">
        <f>Лист1!O95</f>
        <v>364031.29</v>
      </c>
      <c r="E56" s="89">
        <f>Лист1!P95</f>
        <v>1007035</v>
      </c>
      <c r="F56" s="89">
        <f>Лист1!Q95</f>
        <v>1007035</v>
      </c>
      <c r="G56" s="89">
        <f>Лист1!R95</f>
        <v>1007035</v>
      </c>
      <c r="H56" s="89">
        <f>Лист1!S95</f>
        <v>1007035</v>
      </c>
    </row>
    <row r="57" spans="1:8" x14ac:dyDescent="0.25">
      <c r="A57" s="10" t="s">
        <v>500</v>
      </c>
      <c r="B57" s="10" t="s">
        <v>499</v>
      </c>
      <c r="C57" s="89" t="e">
        <f>Лист1!#REF!</f>
        <v>#REF!</v>
      </c>
      <c r="D57" s="89" t="e">
        <f>Лист1!#REF!</f>
        <v>#REF!</v>
      </c>
      <c r="E57" s="89" t="e">
        <f>Лист1!#REF!</f>
        <v>#REF!</v>
      </c>
      <c r="F57" s="89" t="e">
        <f>Лист1!#REF!</f>
        <v>#REF!</v>
      </c>
      <c r="G57" s="89" t="e">
        <f>Лист1!#REF!</f>
        <v>#REF!</v>
      </c>
      <c r="H57" s="89" t="e">
        <f>Лист1!#REF!</f>
        <v>#REF!</v>
      </c>
    </row>
    <row r="58" spans="1:8" x14ac:dyDescent="0.25">
      <c r="A58" s="23"/>
      <c r="B58" s="92" t="s">
        <v>525</v>
      </c>
      <c r="C58" s="90" t="e">
        <f>C54+C35+C8</f>
        <v>#REF!</v>
      </c>
      <c r="D58" s="90" t="e">
        <f t="shared" ref="D58:H58" si="4">D54+D35+D8</f>
        <v>#REF!</v>
      </c>
      <c r="E58" s="90" t="e">
        <f t="shared" si="4"/>
        <v>#REF!</v>
      </c>
      <c r="F58" s="90" t="e">
        <f t="shared" si="4"/>
        <v>#REF!</v>
      </c>
      <c r="G58" s="90" t="e">
        <f t="shared" si="4"/>
        <v>#REF!</v>
      </c>
      <c r="H58" s="90" t="e">
        <f t="shared" si="4"/>
        <v>#REF!</v>
      </c>
    </row>
    <row r="59" spans="1:8" x14ac:dyDescent="0.25">
      <c r="C59" s="91">
        <v>2692446865.1700001</v>
      </c>
      <c r="D59" s="91">
        <v>2553604016.9099998</v>
      </c>
      <c r="E59" s="91">
        <v>1857196991.4000001</v>
      </c>
      <c r="F59" s="91">
        <v>1740982791</v>
      </c>
      <c r="G59" s="91">
        <v>1727676791</v>
      </c>
      <c r="H59" s="91">
        <v>1727676791</v>
      </c>
    </row>
    <row r="60" spans="1:8" x14ac:dyDescent="0.25">
      <c r="C60" s="91" t="e">
        <f>C58-C59</f>
        <v>#REF!</v>
      </c>
      <c r="D60" s="91" t="e">
        <f t="shared" ref="D60:H60" si="5">D58-D59</f>
        <v>#REF!</v>
      </c>
      <c r="E60" s="91" t="e">
        <f t="shared" si="5"/>
        <v>#REF!</v>
      </c>
      <c r="F60" s="91" t="e">
        <f t="shared" si="5"/>
        <v>#REF!</v>
      </c>
      <c r="G60" s="91" t="e">
        <f t="shared" si="5"/>
        <v>#REF!</v>
      </c>
      <c r="H60" s="91" t="e">
        <f t="shared" si="5"/>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admin</cp:lastModifiedBy>
  <cp:lastPrinted>2017-11-21T02:30:46Z</cp:lastPrinted>
  <dcterms:created xsi:type="dcterms:W3CDTF">2017-10-12T06:20:04Z</dcterms:created>
  <dcterms:modified xsi:type="dcterms:W3CDTF">2018-04-03T01:40:09Z</dcterms:modified>
</cp:coreProperties>
</file>