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3920" windowHeight="12705"/>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R178" i="1" l="1"/>
  <c r="R186" i="1"/>
  <c r="S10" i="1"/>
  <c r="R10" i="1"/>
  <c r="Q10" i="1"/>
  <c r="P10" i="1"/>
  <c r="O10" i="1"/>
  <c r="N10" i="1"/>
  <c r="P151" i="1" l="1"/>
  <c r="P124" i="1"/>
  <c r="N172" i="1" l="1"/>
  <c r="S120" i="1" l="1"/>
  <c r="R145" i="1"/>
  <c r="R120" i="1" s="1"/>
  <c r="Q145" i="1"/>
  <c r="Q120" i="1" s="1"/>
  <c r="P145" i="1"/>
  <c r="S161" i="1" l="1"/>
  <c r="S160" i="1" s="1"/>
  <c r="R161" i="1"/>
  <c r="R160" i="1" s="1"/>
  <c r="Q161" i="1"/>
  <c r="Q160" i="1" s="1"/>
  <c r="P161" i="1"/>
  <c r="P160" i="1" s="1"/>
  <c r="O161" i="1"/>
  <c r="O160" i="1" s="1"/>
  <c r="N161" i="1"/>
  <c r="N160" i="1" s="1"/>
  <c r="O30" i="1"/>
  <c r="N30" i="1"/>
  <c r="O26" i="1"/>
  <c r="N26" i="1"/>
  <c r="N17" i="1" l="1"/>
  <c r="O17" i="1"/>
  <c r="S97" i="1" l="1"/>
  <c r="R97" i="1"/>
  <c r="Q97" i="1"/>
  <c r="P97" i="1"/>
  <c r="O97" i="1"/>
  <c r="N97" i="1"/>
  <c r="S82" i="1"/>
  <c r="R82" i="1"/>
  <c r="Q83" i="1" l="1"/>
  <c r="Q82" i="1" s="1"/>
  <c r="S33" i="1" l="1"/>
  <c r="S215" i="1" s="1"/>
  <c r="R33" i="1"/>
  <c r="R215" i="1" s="1"/>
  <c r="Q33" i="1"/>
  <c r="Q215" i="1" s="1"/>
  <c r="P33" i="1"/>
  <c r="P215" i="1" s="1"/>
  <c r="O33" i="1"/>
  <c r="O215" i="1" s="1"/>
  <c r="N33" i="1"/>
  <c r="N215" i="1" s="1"/>
  <c r="R221" i="1"/>
  <c r="Q221" i="1"/>
  <c r="P128" i="1"/>
  <c r="P121" i="1"/>
  <c r="P120" i="1" s="1"/>
  <c r="Q113" i="1" l="1"/>
  <c r="P113" i="1"/>
  <c r="R111" i="1"/>
  <c r="Q111" i="1"/>
  <c r="P111" i="1"/>
  <c r="P83" i="1" l="1"/>
  <c r="P82" i="1" s="1"/>
  <c r="S101" i="1"/>
  <c r="R101" i="1"/>
  <c r="Q101" i="1"/>
  <c r="P101" i="1"/>
  <c r="O101" i="1"/>
  <c r="N101" i="1"/>
  <c r="S110" i="1"/>
  <c r="S217" i="1" s="1"/>
  <c r="R110" i="1"/>
  <c r="R217" i="1" s="1"/>
  <c r="Q110" i="1"/>
  <c r="Q217" i="1" s="1"/>
  <c r="P110" i="1"/>
  <c r="P217" i="1" s="1"/>
  <c r="O113" i="1" l="1"/>
  <c r="N113" i="1"/>
  <c r="O111" i="1"/>
  <c r="N111" i="1"/>
  <c r="P37" i="1"/>
  <c r="P56" i="1"/>
  <c r="O110" i="1" l="1"/>
  <c r="O217" i="1" s="1"/>
  <c r="N110" i="1"/>
  <c r="N217" i="1" s="1"/>
  <c r="P26" i="1"/>
  <c r="O153" i="1" l="1"/>
  <c r="N153" i="1"/>
  <c r="O124" i="1"/>
  <c r="N124" i="1"/>
  <c r="S63" i="1" l="1"/>
  <c r="R63" i="1"/>
  <c r="Q63" i="1"/>
  <c r="P63" i="1"/>
  <c r="O63" i="1"/>
  <c r="N63" i="1"/>
  <c r="R151" i="1" l="1"/>
  <c r="P75" i="1" l="1"/>
  <c r="Q186" i="1"/>
  <c r="P186" i="1"/>
  <c r="P11" i="1" l="1"/>
  <c r="O65" i="1" l="1"/>
  <c r="O186" i="1"/>
  <c r="N186" i="1"/>
  <c r="O145" i="1" l="1"/>
  <c r="N145" i="1"/>
  <c r="O134" i="1"/>
  <c r="N134" i="1"/>
  <c r="O128" i="1"/>
  <c r="N128" i="1"/>
  <c r="O121" i="1"/>
  <c r="O120" i="1" s="1"/>
  <c r="N121" i="1"/>
  <c r="O83" i="1"/>
  <c r="O82" i="1" s="1"/>
  <c r="O81" i="1" s="1"/>
  <c r="N83" i="1"/>
  <c r="N82" i="1" s="1"/>
  <c r="N81" i="1" s="1"/>
  <c r="O75" i="1"/>
  <c r="N75" i="1"/>
  <c r="N66" i="1"/>
  <c r="N65" i="1" s="1"/>
  <c r="N56" i="1"/>
  <c r="O56" i="1"/>
  <c r="O48" i="1"/>
  <c r="N48" i="1"/>
  <c r="O14" i="1"/>
  <c r="N14" i="1"/>
  <c r="O11" i="1"/>
  <c r="N11" i="1"/>
  <c r="N120" i="1" l="1"/>
  <c r="S194" i="1"/>
  <c r="R194" i="1"/>
  <c r="Q194" i="1"/>
  <c r="P194" i="1"/>
  <c r="O194" i="1"/>
  <c r="N194" i="1"/>
  <c r="S117" i="1" l="1"/>
  <c r="S116" i="1" s="1"/>
  <c r="R117" i="1"/>
  <c r="R116" i="1" s="1"/>
  <c r="Q117" i="1"/>
  <c r="Q116" i="1" s="1"/>
  <c r="P117" i="1"/>
  <c r="P116" i="1" s="1"/>
  <c r="O117" i="1"/>
  <c r="O116" i="1" s="1"/>
  <c r="N117" i="1"/>
  <c r="N116" i="1" s="1"/>
  <c r="S221" i="1" l="1"/>
  <c r="Q75" i="1" l="1"/>
  <c r="R75" i="1"/>
  <c r="S75" i="1" s="1"/>
  <c r="R56" i="1"/>
  <c r="Q56" i="1"/>
  <c r="Q48" i="1"/>
  <c r="P48" i="1"/>
  <c r="S26" i="1"/>
  <c r="R26" i="1"/>
  <c r="Q26" i="1"/>
  <c r="P81" i="1" l="1"/>
  <c r="O37" i="1" l="1"/>
  <c r="N37" i="1"/>
  <c r="S65" i="1" l="1"/>
  <c r="P65" i="1" l="1"/>
  <c r="R65" i="1"/>
  <c r="Q65" i="1"/>
  <c r="S37" i="1" l="1"/>
  <c r="R37" i="1"/>
  <c r="Q37" i="1"/>
  <c r="N47" i="1" l="1"/>
  <c r="S55" i="1" l="1"/>
  <c r="R55" i="1"/>
  <c r="Q55" i="1"/>
  <c r="P55" i="1"/>
  <c r="O55" i="1"/>
  <c r="N55" i="1"/>
  <c r="H21" i="2" l="1"/>
  <c r="G21" i="2"/>
  <c r="F21" i="2"/>
  <c r="E21" i="2"/>
  <c r="D21" i="2"/>
  <c r="C21" i="2"/>
  <c r="H34" i="2"/>
  <c r="G34" i="2"/>
  <c r="F34" i="2"/>
  <c r="E34" i="2"/>
  <c r="D34" i="2"/>
  <c r="C34" i="2"/>
  <c r="H9" i="2"/>
  <c r="G9" i="2"/>
  <c r="F9" i="2"/>
  <c r="E9" i="2"/>
  <c r="D9" i="2"/>
  <c r="C9" i="2"/>
  <c r="H13" i="2"/>
  <c r="G13" i="2"/>
  <c r="F13" i="2"/>
  <c r="H12" i="2"/>
  <c r="G12" i="2"/>
  <c r="F12" i="2"/>
  <c r="E12" i="2"/>
  <c r="D12" i="2"/>
  <c r="C12" i="2"/>
  <c r="H11" i="2"/>
  <c r="G11" i="2"/>
  <c r="F11" i="2"/>
  <c r="D11" i="2"/>
  <c r="C11" i="2"/>
  <c r="H10" i="2"/>
  <c r="G10" i="2"/>
  <c r="F10" i="2"/>
  <c r="E10" i="2"/>
  <c r="D10" i="2"/>
  <c r="C10" i="2"/>
  <c r="H26" i="2" l="1"/>
  <c r="G26" i="2"/>
  <c r="F26" i="2"/>
  <c r="E11" i="2" l="1"/>
  <c r="E26" i="2"/>
  <c r="H17" i="2" l="1"/>
  <c r="G32" i="2"/>
  <c r="F32" i="2"/>
  <c r="E32" i="2"/>
  <c r="E13" i="2"/>
  <c r="D26" i="2" l="1"/>
  <c r="D17" i="2"/>
  <c r="C17" i="2"/>
  <c r="C26" i="2" l="1"/>
  <c r="D32" i="2"/>
  <c r="C32" i="2"/>
  <c r="D13" i="2"/>
  <c r="C13" i="2"/>
  <c r="H32" i="2" l="1"/>
  <c r="S172" i="1" l="1"/>
  <c r="R172" i="1"/>
  <c r="Q172" i="1"/>
  <c r="P172" i="1"/>
  <c r="P159" i="1" s="1"/>
  <c r="O172" i="1"/>
  <c r="H36" i="2" l="1"/>
  <c r="G36" i="2"/>
  <c r="F36" i="2"/>
  <c r="E36" i="2"/>
  <c r="D36" i="2"/>
  <c r="C36" i="2"/>
  <c r="H35" i="2"/>
  <c r="G35" i="2"/>
  <c r="F35" i="2"/>
  <c r="E35" i="2"/>
  <c r="D35" i="2"/>
  <c r="C35" i="2"/>
  <c r="H33" i="2"/>
  <c r="G33" i="2"/>
  <c r="F33" i="2"/>
  <c r="E33" i="2"/>
  <c r="D33" i="2"/>
  <c r="C33" i="2"/>
  <c r="B32" i="2"/>
  <c r="S202" i="1"/>
  <c r="S193" i="1" s="1"/>
  <c r="R202" i="1"/>
  <c r="R193" i="1" s="1"/>
  <c r="Q202" i="1"/>
  <c r="Q193" i="1" s="1"/>
  <c r="P202" i="1"/>
  <c r="O202" i="1"/>
  <c r="N202" i="1"/>
  <c r="P206" i="1"/>
  <c r="Q206" i="1"/>
  <c r="S178" i="1"/>
  <c r="S190" i="1"/>
  <c r="R190" i="1"/>
  <c r="Q190" i="1"/>
  <c r="P190" i="1"/>
  <c r="O190" i="1"/>
  <c r="N190" i="1"/>
  <c r="O159" i="1"/>
  <c r="S150" i="1"/>
  <c r="R150" i="1"/>
  <c r="Q150" i="1"/>
  <c r="P150" i="1"/>
  <c r="O150" i="1"/>
  <c r="N150" i="1"/>
  <c r="S81" i="1"/>
  <c r="F17" i="2"/>
  <c r="E17" i="2"/>
  <c r="S25" i="1"/>
  <c r="S9" i="1" s="1"/>
  <c r="R25" i="1"/>
  <c r="R9" i="1" s="1"/>
  <c r="Q25" i="1"/>
  <c r="Q9" i="1" s="1"/>
  <c r="P25" i="1"/>
  <c r="P9" i="1" s="1"/>
  <c r="O25" i="1"/>
  <c r="N25" i="1"/>
  <c r="N9" i="1" l="1"/>
  <c r="P205" i="1"/>
  <c r="Q205" i="1"/>
  <c r="G17" i="2"/>
  <c r="S177" i="1"/>
  <c r="N159" i="1"/>
  <c r="R62" i="1"/>
  <c r="P62" i="1"/>
  <c r="S62" i="1"/>
  <c r="H45" i="2"/>
  <c r="G45" i="2"/>
  <c r="F45" i="2"/>
  <c r="E45" i="2"/>
  <c r="D45" i="2"/>
  <c r="C45" i="2"/>
  <c r="Q81" i="1" l="1"/>
  <c r="R81" i="1"/>
  <c r="P178" i="1"/>
  <c r="P177" i="1" s="1"/>
  <c r="O62" i="1" l="1"/>
  <c r="N62" i="1"/>
  <c r="H31" i="2" l="1"/>
  <c r="G31" i="2"/>
  <c r="F31" i="2"/>
  <c r="E31" i="2"/>
  <c r="D31" i="2"/>
  <c r="C31" i="2"/>
  <c r="B31" i="2"/>
  <c r="H47" i="2"/>
  <c r="G47" i="2"/>
  <c r="F47" i="2"/>
  <c r="E47" i="2"/>
  <c r="D47" i="2"/>
  <c r="C47" i="2"/>
  <c r="H46" i="2"/>
  <c r="G46" i="2"/>
  <c r="F46" i="2"/>
  <c r="E46" i="2"/>
  <c r="D46" i="2"/>
  <c r="C46" i="2"/>
  <c r="H44" i="2"/>
  <c r="G44" i="2"/>
  <c r="F44" i="2"/>
  <c r="E44" i="2"/>
  <c r="D44" i="2"/>
  <c r="C44" i="2"/>
  <c r="H43" i="2"/>
  <c r="G43" i="2"/>
  <c r="F43" i="2"/>
  <c r="E43" i="2"/>
  <c r="D43" i="2"/>
  <c r="C43" i="2"/>
  <c r="H42" i="2"/>
  <c r="G42" i="2"/>
  <c r="F42" i="2"/>
  <c r="E42" i="2"/>
  <c r="D42" i="2"/>
  <c r="C42" i="2"/>
  <c r="H41" i="2"/>
  <c r="F41" i="2"/>
  <c r="E41" i="2"/>
  <c r="D41" i="2"/>
  <c r="C41" i="2"/>
  <c r="H40" i="2"/>
  <c r="E40" i="2"/>
  <c r="D40" i="2"/>
  <c r="C40" i="2"/>
  <c r="H39" i="2"/>
  <c r="G39" i="2"/>
  <c r="F39" i="2"/>
  <c r="E39" i="2"/>
  <c r="D39" i="2"/>
  <c r="C39" i="2"/>
  <c r="H38" i="2"/>
  <c r="G38" i="2"/>
  <c r="F38" i="2"/>
  <c r="E38" i="2"/>
  <c r="D38" i="2"/>
  <c r="C38" i="2"/>
  <c r="H20" i="2"/>
  <c r="E20" i="2"/>
  <c r="H19" i="2"/>
  <c r="G19" i="2"/>
  <c r="F19" i="2"/>
  <c r="E19" i="2"/>
  <c r="D19" i="2"/>
  <c r="C19" i="2"/>
  <c r="H18" i="2"/>
  <c r="G18" i="2"/>
  <c r="F18" i="2"/>
  <c r="E18" i="2"/>
  <c r="D18" i="2"/>
  <c r="C18" i="2"/>
  <c r="H16" i="2"/>
  <c r="G16" i="2"/>
  <c r="F16" i="2"/>
  <c r="E16" i="2"/>
  <c r="D16" i="2"/>
  <c r="C16" i="2"/>
  <c r="H15" i="2"/>
  <c r="E15" i="2"/>
  <c r="H14" i="2"/>
  <c r="G14" i="2"/>
  <c r="F14" i="2"/>
  <c r="E14" i="2"/>
  <c r="D14" i="2"/>
  <c r="C14" i="2"/>
  <c r="H30" i="2"/>
  <c r="G30" i="2"/>
  <c r="F30" i="2"/>
  <c r="E30" i="2"/>
  <c r="D30" i="2"/>
  <c r="C30" i="2"/>
  <c r="H29" i="2"/>
  <c r="G29" i="2"/>
  <c r="F29" i="2"/>
  <c r="E29" i="2"/>
  <c r="H28" i="2"/>
  <c r="G28" i="2"/>
  <c r="F28" i="2"/>
  <c r="E28" i="2"/>
  <c r="D28" i="2"/>
  <c r="C28" i="2"/>
  <c r="H27" i="2"/>
  <c r="G27" i="2"/>
  <c r="F27" i="2"/>
  <c r="H25" i="2"/>
  <c r="G25" i="2"/>
  <c r="F25" i="2"/>
  <c r="E25" i="2"/>
  <c r="D25" i="2"/>
  <c r="C25" i="2"/>
  <c r="H24" i="2"/>
  <c r="G24" i="2"/>
  <c r="F24" i="2"/>
  <c r="E24" i="2"/>
  <c r="D24" i="2"/>
  <c r="C24" i="2"/>
  <c r="H23" i="2"/>
  <c r="G23" i="2"/>
  <c r="F23" i="2"/>
  <c r="E23" i="2"/>
  <c r="D23" i="2"/>
  <c r="C23" i="2"/>
  <c r="H22" i="2"/>
  <c r="G22" i="2"/>
  <c r="F22" i="2"/>
  <c r="E22" i="2"/>
  <c r="R177" i="1" l="1"/>
  <c r="Q178" i="1"/>
  <c r="Q177" i="1" s="1"/>
  <c r="G41" i="2"/>
  <c r="G15" i="2"/>
  <c r="F15" i="2"/>
  <c r="P193" i="1"/>
  <c r="E27" i="2" l="1"/>
  <c r="E8" i="2" s="1"/>
  <c r="F20" i="2"/>
  <c r="G20" i="2"/>
  <c r="F40" i="2"/>
  <c r="G40" i="2"/>
  <c r="O193" i="1"/>
  <c r="D29" i="2"/>
  <c r="C29" i="2"/>
  <c r="O178" i="1"/>
  <c r="N178" i="1"/>
  <c r="D22" i="2"/>
  <c r="C22" i="2"/>
  <c r="O177" i="1" l="1"/>
  <c r="N177" i="1"/>
  <c r="N193" i="1"/>
  <c r="C20" i="2"/>
  <c r="D20" i="2"/>
  <c r="C27" i="2"/>
  <c r="D27" i="2"/>
  <c r="D15" i="2"/>
  <c r="C15" i="2"/>
  <c r="C8" i="2" l="1"/>
  <c r="D8" i="2"/>
  <c r="O9" i="1" l="1"/>
  <c r="F37" i="2"/>
  <c r="G37" i="2"/>
  <c r="E37" i="2"/>
  <c r="E48" i="2" s="1"/>
  <c r="H37" i="2"/>
  <c r="D37" i="2"/>
  <c r="D48" i="2" s="1"/>
  <c r="C37" i="2"/>
  <c r="C48" i="2" s="1"/>
  <c r="Q159" i="1" l="1"/>
  <c r="G8" i="2"/>
  <c r="G48" i="2" s="1"/>
  <c r="G50" i="2" s="1"/>
  <c r="G53" i="2" s="1"/>
  <c r="R159" i="1"/>
  <c r="Q62" i="1"/>
  <c r="E50" i="2"/>
  <c r="E53" i="2" s="1"/>
  <c r="S159" i="1" l="1"/>
  <c r="F8" i="2"/>
  <c r="F48" i="2" s="1"/>
  <c r="F50" i="2" s="1"/>
  <c r="F53" i="2" s="1"/>
  <c r="H8" i="2" l="1"/>
  <c r="H48" i="2" s="1"/>
  <c r="H50" i="2" s="1"/>
  <c r="H53" i="2" s="1"/>
  <c r="C50" i="2"/>
  <c r="C53" i="2" s="1"/>
  <c r="D50" i="2"/>
  <c r="D53" i="2" s="1"/>
  <c r="S210" i="1" l="1"/>
  <c r="S209" i="1" s="1"/>
  <c r="R210" i="1"/>
  <c r="R209" i="1" s="1"/>
  <c r="Q210" i="1"/>
  <c r="P210" i="1"/>
  <c r="O210" i="1"/>
  <c r="N210" i="1"/>
  <c r="S206" i="1"/>
  <c r="S214" i="1" s="1"/>
  <c r="R206" i="1"/>
  <c r="O206" i="1"/>
  <c r="O214" i="1" s="1"/>
  <c r="N206" i="1"/>
  <c r="N214" i="1" s="1"/>
  <c r="S155" i="1"/>
  <c r="R155" i="1"/>
  <c r="R119" i="1" s="1"/>
  <c r="Q155" i="1"/>
  <c r="Q119" i="1" s="1"/>
  <c r="P155" i="1"/>
  <c r="P119" i="1" s="1"/>
  <c r="O155" i="1"/>
  <c r="N155" i="1"/>
  <c r="S74" i="1"/>
  <c r="S73" i="1" s="1"/>
  <c r="R74" i="1"/>
  <c r="R73" i="1" s="1"/>
  <c r="Q74" i="1"/>
  <c r="Q73" i="1" s="1"/>
  <c r="P74" i="1"/>
  <c r="P73" i="1" s="1"/>
  <c r="O74" i="1"/>
  <c r="N74" i="1"/>
  <c r="N213" i="1" s="1"/>
  <c r="S59" i="1"/>
  <c r="S216" i="1" s="1"/>
  <c r="R59" i="1"/>
  <c r="R216" i="1" s="1"/>
  <c r="Q59" i="1"/>
  <c r="Q216" i="1" s="1"/>
  <c r="P59" i="1"/>
  <c r="P216" i="1" s="1"/>
  <c r="O59" i="1"/>
  <c r="O216" i="1" s="1"/>
  <c r="N59" i="1"/>
  <c r="S47" i="1"/>
  <c r="S213" i="1" s="1"/>
  <c r="R47" i="1"/>
  <c r="R213" i="1" s="1"/>
  <c r="Q47" i="1"/>
  <c r="P47" i="1"/>
  <c r="P213" i="1" s="1"/>
  <c r="O47" i="1"/>
  <c r="O213" i="1" s="1"/>
  <c r="R214" i="1" l="1"/>
  <c r="R218" i="1"/>
  <c r="Q213" i="1"/>
  <c r="O218" i="1"/>
  <c r="N46" i="1"/>
  <c r="N216" i="1"/>
  <c r="N218" i="1" s="1"/>
  <c r="S218" i="1"/>
  <c r="P209" i="1"/>
  <c r="P214" i="1"/>
  <c r="P218" i="1" s="1"/>
  <c r="Q209" i="1"/>
  <c r="Q214" i="1"/>
  <c r="O119" i="1"/>
  <c r="N119" i="1"/>
  <c r="S119" i="1"/>
  <c r="O73" i="1"/>
  <c r="N209" i="1"/>
  <c r="O209" i="1"/>
  <c r="Q46" i="1"/>
  <c r="R46" i="1"/>
  <c r="N73" i="1"/>
  <c r="P46" i="1"/>
  <c r="S46" i="1"/>
  <c r="O46" i="1"/>
  <c r="S205" i="1"/>
  <c r="R205" i="1"/>
  <c r="N205" i="1"/>
  <c r="O205" i="1"/>
  <c r="P219" i="1" l="1"/>
  <c r="P222" i="1" s="1"/>
  <c r="Q218" i="1"/>
  <c r="N219" i="1"/>
  <c r="N222" i="1" s="1"/>
  <c r="S222" i="1"/>
  <c r="R219" i="1"/>
  <c r="S219" i="1"/>
  <c r="O219" i="1"/>
  <c r="Q219" i="1"/>
  <c r="O222" i="1" l="1"/>
  <c r="O220" i="1"/>
  <c r="R222" i="1"/>
  <c r="Q222" i="1"/>
  <c r="S220" i="1"/>
  <c r="N220" i="1"/>
  <c r="R220" i="1"/>
  <c r="Q220" i="1"/>
  <c r="P220" i="1"/>
</calcChain>
</file>

<file path=xl/comments1.xml><?xml version="1.0" encoding="utf-8"?>
<comments xmlns="http://schemas.openxmlformats.org/spreadsheetml/2006/main">
  <authors>
    <author>121</author>
  </authors>
  <commentList>
    <comment ref="K102" authorId="0">
      <text>
        <r>
          <rPr>
            <b/>
            <sz val="9"/>
            <color indexed="81"/>
            <rFont val="Tahoma"/>
            <family val="2"/>
            <charset val="204"/>
          </rPr>
          <t>121:</t>
        </r>
        <r>
          <rPr>
            <sz val="9"/>
            <color indexed="81"/>
            <rFont val="Tahoma"/>
            <family val="2"/>
            <charset val="204"/>
          </rPr>
          <t xml:space="preserve">
переработать 
</t>
        </r>
      </text>
    </comment>
    <comment ref="K106" authorId="0">
      <text>
        <r>
          <rPr>
            <b/>
            <sz val="9"/>
            <color indexed="81"/>
            <rFont val="Tahoma"/>
            <family val="2"/>
            <charset val="204"/>
          </rPr>
          <t>121:</t>
        </r>
        <r>
          <rPr>
            <sz val="9"/>
            <color indexed="81"/>
            <rFont val="Tahoma"/>
            <family val="2"/>
            <charset val="204"/>
          </rPr>
          <t xml:space="preserve">
переработать
МКУ УО</t>
        </r>
      </text>
    </comment>
    <comment ref="K107" authorId="0">
      <text>
        <r>
          <rPr>
            <b/>
            <sz val="9"/>
            <color indexed="81"/>
            <rFont val="Tahoma"/>
            <family val="2"/>
            <charset val="204"/>
          </rPr>
          <t>121:</t>
        </r>
        <r>
          <rPr>
            <sz val="9"/>
            <color indexed="81"/>
            <rFont val="Tahoma"/>
            <family val="2"/>
            <charset val="204"/>
          </rPr>
          <t xml:space="preserve">
ссылка на недейств документ
</t>
        </r>
      </text>
    </comment>
    <comment ref="K163" authorId="0">
      <text>
        <r>
          <rPr>
            <b/>
            <sz val="9"/>
            <color indexed="81"/>
            <rFont val="Tahoma"/>
            <charset val="1"/>
          </rPr>
          <t>121:</t>
        </r>
        <r>
          <rPr>
            <sz val="9"/>
            <color indexed="81"/>
            <rFont val="Tahoma"/>
            <charset val="1"/>
          </rPr>
          <t xml:space="preserve">
постанов краевое утратило силу
</t>
        </r>
      </text>
    </comment>
  </commentList>
</comments>
</file>

<file path=xl/sharedStrings.xml><?xml version="1.0" encoding="utf-8"?>
<sst xmlns="http://schemas.openxmlformats.org/spreadsheetml/2006/main" count="1110" uniqueCount="563">
  <si>
    <t>Код расходного обязательства</t>
  </si>
  <si>
    <t>Содержание расходного обязательства</t>
  </si>
  <si>
    <t>Коды классификации расходов бюджетов</t>
  </si>
  <si>
    <t>Код ГРБС</t>
  </si>
  <si>
    <t>Р/ПР</t>
  </si>
  <si>
    <t>Нормативные правовые акты, договоры, соглашения РФ</t>
  </si>
  <si>
    <t>Наименование и реквизиты нормативного правового акта</t>
  </si>
  <si>
    <t>Номер статьи (подстатьи), пункта (подпункта)</t>
  </si>
  <si>
    <t>Дата вступления в силу и срок действия</t>
  </si>
  <si>
    <t>Нормативные правовые акты, договоры, соглашения субъекта РФ</t>
  </si>
  <si>
    <t>Нормативные правовые акты, договоры, соглашения муниципального образования</t>
  </si>
  <si>
    <t>план</t>
  </si>
  <si>
    <t>факт</t>
  </si>
  <si>
    <t>Отчетный финансовый год</t>
  </si>
  <si>
    <t>Текущий (очередной) финансовый год</t>
  </si>
  <si>
    <t>Плановый период</t>
  </si>
  <si>
    <t>Объем средств на исполнение расходного обязательства</t>
  </si>
  <si>
    <t>рублей</t>
  </si>
  <si>
    <t>Администрация города Канска</t>
  </si>
  <si>
    <t>0102,0103,0104,0113</t>
  </si>
  <si>
    <t>Федеральный закон от 06.10.2003 № 131-ФЗ "Об общих принципах организации местного самоуправления в Российской Федерации"</t>
  </si>
  <si>
    <t>01.01.2009 - не установ</t>
  </si>
  <si>
    <t>Федеральный закон от 02.03.2007 № 25-ФЗ "О муниципальной службе в Российской Федерации"</t>
  </si>
  <si>
    <t>01.06.2007 - не установ</t>
  </si>
  <si>
    <t>Закон Красноярского края от 24.04.2008 № 5-1565 "Об особенностях правового регулирования муниципальной службы в Красноярском крае"</t>
  </si>
  <si>
    <t>Ст.в целом</t>
  </si>
  <si>
    <t>01.07.2008 - не установ</t>
  </si>
  <si>
    <t xml:space="preserve">Постановление Совета администрации Красноярского края от 29.12.2007 № 512-п "О нормативах формирования расходов на оплату труда депутатов,выборных долдностных лиц местного самоуправления, осуществляющие свои полномочия на постоянной основе, лиц, замещающих иные муниципальные должности, и муниципальных служащих" </t>
  </si>
  <si>
    <t>01.01.2008 - не установ</t>
  </si>
  <si>
    <t>Устав от 27.01.1998 № 47-9Р "Устав города Канска"</t>
  </si>
  <si>
    <t>06.02.1998  - не установ</t>
  </si>
  <si>
    <t>Постановление администрации города Канска от 02.03.2017 г. №180 "Об утверждении Положения о порядке поощрения лиц, привлекаемых для выполнения отдельных полномочий по охране общественного порядка и профилактике правонарушений на  территории муниципального  образования город Канск"</t>
  </si>
  <si>
    <t>08.03.2017 - не установ</t>
  </si>
  <si>
    <t>Ст.34;Пункт 9 Ст.35;Пункт 15 Ст.53;Пункт 2</t>
  </si>
  <si>
    <t>0113</t>
  </si>
  <si>
    <t>Ст.17; пункт 1, п/пункт 3</t>
  </si>
  <si>
    <t>ст.30</t>
  </si>
  <si>
    <t>Постановление администрации города Канска Красноярского края от 16.02.20415 г. №205 "О создании Муниципального казенного учреждения "Централизованная бухгалтерия"</t>
  </si>
  <si>
    <t>06.02.1998 - не установ</t>
  </si>
  <si>
    <t xml:space="preserve">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</si>
  <si>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0107</t>
  </si>
  <si>
    <t>Федеральный закон от 12.06.2002 № 67-ФЗ "Об основных гарантиях избирательных прав и права на участие в референдуме граждан Российской Федерации"</t>
  </si>
  <si>
    <t>Закон Красноярского края от 02.10.2003 № 8-1411  "О выборах в органы местного самоуправления в Красноярском крае"</t>
  </si>
  <si>
    <t>08.11.2003 - не установ</t>
  </si>
  <si>
    <t>26.06.2002 - не установ</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</si>
  <si>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</si>
  <si>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ст.6 п.6</t>
  </si>
  <si>
    <t>0501, 1003</t>
  </si>
  <si>
    <t xml:space="preserve">формирование и содержание муниципального архива </t>
  </si>
  <si>
    <t>ст. 16 п. 22</t>
  </si>
  <si>
    <t>Постановление администрации г. Канска Красноярского края от 24.02.2012 №227 "Об утверждении Административного регламента по предоставлению муниципальной услуги "Организация информационного обеспечения граждан, организаций и общественных объеденений на основе документов Архивного фонда РФ и других  архивных объектов".</t>
  </si>
  <si>
    <t>29.02.2012- не установ</t>
  </si>
  <si>
    <t>Федеральный закон от 24.07.2007 № 209-ФЗ "О развитии малого и среднего предпринимательства в Российской Федерации"</t>
  </si>
  <si>
    <t>ст.11</t>
  </si>
  <si>
    <t>ст.16, пункт 1, п/пункт 33</t>
  </si>
  <si>
    <t>ст.в целом</t>
  </si>
  <si>
    <t>Постановление администрации города Канска от 10.04.2017 №315 "Об утверждении Положения о порядке определения объема и предоставления субсидий социально ориентированным некоммерческим организациям, не являющимся государственными (муниципальными) учреждениями, на реализацию социальных проектов на основании конкурсного отбора проектов"</t>
  </si>
  <si>
    <t>10.04.2017 - не установ</t>
  </si>
  <si>
    <t xml:space="preserve">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 </t>
  </si>
  <si>
    <t>РГ-В</t>
  </si>
  <si>
    <t xml:space="preserve">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 </t>
  </si>
  <si>
    <t>РГ-А</t>
  </si>
  <si>
    <t>Федеральный закон от 22.10.2004 № 125-ФЗ "Об архивном деле в Российской Федерации"</t>
  </si>
  <si>
    <t>ст.4</t>
  </si>
  <si>
    <t>19.12.2006 - не установ</t>
  </si>
  <si>
    <t>Закон Красноярского края от 21.12.2010 № 11-5564 "О наделении органов местного самоуправления государственными полномочиями в области архивного дела"</t>
  </si>
  <si>
    <t>30.12.2010 - не установ</t>
  </si>
  <si>
    <t>Субвенции бюджетам муниципальных образований края на реализацию Закона края от 30 января 2014 года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</si>
  <si>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0104</t>
  </si>
  <si>
    <t>Федеральный закон от 06.10.1999 № 184-ФЗ "Об общих принципах организации законодательных (представительных) и исполнительных органов государственно власти субъектов Российской Федерации"</t>
  </si>
  <si>
    <t>ст.26.3, часть 2, пункт 44.2</t>
  </si>
  <si>
    <t>18.10.1999 - не установ</t>
  </si>
  <si>
    <t>Закон Красноярского края от 30.01.2014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</si>
  <si>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19.02.2014 - не установ</t>
  </si>
  <si>
    <t>19.11.2014 - не установ</t>
  </si>
  <si>
    <t>Субвенции бюджетам муниципальных образований края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</si>
  <si>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Ст.26.3;Часть 2;Пункт 24.1</t>
  </si>
  <si>
    <t>ст.26.3, часть 2, пункт 24.1</t>
  </si>
  <si>
    <t>Закон Красноярского края от 26.12.2006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</si>
  <si>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01.01.2007 - не установ</t>
  </si>
  <si>
    <t>Закон Красноярского края от 31.10.2002 № 4-608 "О системе профилактики безнадзорности и правонарушений несовершеннолетних"</t>
  </si>
  <si>
    <t>08.12.2002 - не установ</t>
  </si>
  <si>
    <t>Постановление администрации г. Канска Красноярского края  от 21.10.2010 № 1814 "Об утверждении Порядка расходования субвенции, направленной на осуществление государственных полномочий по созданию и обеспечению деятельности комиссии по делам несовершеннолетних и защите их прав"</t>
  </si>
  <si>
    <t>03.11.2010 - не установ</t>
  </si>
  <si>
    <t>Субвенции бюджетам муниципальных образований края на реализацию Закона края от 23 апреля 2009 года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</si>
  <si>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Закон Красноярского края от 23.04.2009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</si>
  <si>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29.05.2009 - не установ</t>
  </si>
  <si>
    <t>Закон Красноярского края от 23.04.2009 № 8-3168 "Об административных комиссиях в Красноярском крае"</t>
  </si>
  <si>
    <t>28.05.2009 - не установ</t>
  </si>
  <si>
    <t>Федеральный закон от 20.08.2004 № 113-ФЗ "О присяжных заседателях федеральных судов общей юрисдикции в Российской Федерации"</t>
  </si>
  <si>
    <t>0105</t>
  </si>
  <si>
    <t>03.09.2004 - не установ</t>
  </si>
  <si>
    <t>Ст.26.3, пункт 6</t>
  </si>
  <si>
    <t>Постановление Правительства Красноярского края от 31.07.2009 № 391-п "О Порядке и сроках составления общего и запасного списков кандидатов в присяжные заседатели Красноярского края"</t>
  </si>
  <si>
    <t>18.08.2009 - не установ</t>
  </si>
  <si>
    <t>29.06.2016- не установ</t>
  </si>
  <si>
    <t>Постановление администрации г.Канска Красноярского края от 13.11.2014 № 1889 Об утверждении порядка расходования субвенции, направленной  на осуществление органами местного самоуправления переданных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t>
  </si>
  <si>
    <t>Комитет по управлению муниципальным имуществом</t>
  </si>
  <si>
    <t xml:space="preserve">владение, пользование и распоряжение имуществом, находящимся в муниципальной собственности городского округа </t>
  </si>
  <si>
    <t>06.10.2003 - не установ</t>
  </si>
  <si>
    <t>Федеральный закон от 21.12.2001 № 178-ФЗ "О приватизации государственного и муниципального имущества"</t>
  </si>
  <si>
    <t xml:space="preserve">ст.3 </t>
  </si>
  <si>
    <t>ст.16, пункт 1, п/пункт 3</t>
  </si>
  <si>
    <t>28.04.2002 - не установ</t>
  </si>
  <si>
    <t>Федеральный закон от 21.07.2007 № 185-ФЗ "О Фонде содействия реформированию жилищно-коммунального хозяйства"</t>
  </si>
  <si>
    <t>ст.14</t>
  </si>
  <si>
    <t>07.08.2007 - не установ</t>
  </si>
  <si>
    <t>Постановление Правительства РФ от 13.10.1997 № 1301 "О государственном учете жилищного фонда в Российской Федерации"</t>
  </si>
  <si>
    <t>30.10.1997 - не установ</t>
  </si>
  <si>
    <t>Закон Красноярского края от 05.06.2008 № 5-1732 "О порядке безвозмездной передачи в муниципальную собственность имущества, находящегося в государственной собственности края, и безвозмездного приема имущества, находящегося в муниципальной собственности, в государственную собственность края"</t>
  </si>
  <si>
    <t>Закон Красноярского края от 26.05.2009 № 8-3290 "О порядке разграничения имущества между муниципальными образованиями края"</t>
  </si>
  <si>
    <t>20.06.2009 - не установ</t>
  </si>
  <si>
    <t>Постановление  администрации Красноярского  края от 06.04.2000 № 255-п "Об утверждении Положения по установлению ставок для проведения паспортизации и плановой технической инвентаризации жилых строений и жилых помещений"</t>
  </si>
  <si>
    <t>30.04.2000 - не установ</t>
  </si>
  <si>
    <t>22.02.2011 - не установ</t>
  </si>
  <si>
    <t>Решение Канского городского Совета депутатов от 15.12.2010 № 11-73 "О Положении о Муниципальном казенном учреждении "Комитет по управлению муниципальным имуществом города Канска"</t>
  </si>
  <si>
    <t>28.12.2010 - не установ</t>
  </si>
  <si>
    <t>Решение Канского городского Совета депутатов от 26.01.2001 г.№ 52-383 "О положении о городской казне"</t>
  </si>
  <si>
    <t>26.01.2001 - не установ</t>
  </si>
  <si>
    <t>ст.6 п.3</t>
  </si>
  <si>
    <t>0501</t>
  </si>
  <si>
    <t>ст.16, пункт 1, п/пункт 6</t>
  </si>
  <si>
    <t>ст.6 п 6</t>
  </si>
  <si>
    <t xml:space="preserve">утверждение генеральных планов ГО, правил землепользования и застройки, утверждение подготовленной на основе генеральных планов ГО документации по планировке территории, выдача разрешений на строительство (за исключением случаев, предусмотренных Градостр. кодексом РФ, иными ФЗ),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 ведение информационной системы обеспечения градостроительной деятельности, осуществляемой на территории ГО, резервирование земель и изъятие, в том числе путем выкупа, земельных участков в границах ГО для муниципальных нужд, осуществление муниципального земельного контроля в границах ГО, осуществление в случаях, предусмотренных Градостр. кодексом РФ, осмотров зданий, сооружений и выдача рекомендаций об устранении выявленных в ходе таких осмотров нарушений </t>
  </si>
  <si>
    <t>0113, 0412</t>
  </si>
  <si>
    <t>ст.16, пункт 1, п/пункт 26</t>
  </si>
  <si>
    <t>Закон Красноярского края от 04.12.2008 № 7-2542 "О регулировании земельных отношений в Красноярском крае"</t>
  </si>
  <si>
    <t>ст.7</t>
  </si>
  <si>
    <t>04.01.2009 - не установ</t>
  </si>
  <si>
    <t>Постановление администрации г.Канска Красноярского края от 21.10.2010 № 9-45 "О Правилах землепользования и застройки города Канска"</t>
  </si>
  <si>
    <t>10.11.2010 - не установ</t>
  </si>
  <si>
    <t>1004</t>
  </si>
  <si>
    <t>ст.26., часть 2, пункт 14.2</t>
  </si>
  <si>
    <t>Закон Красноярского края от 24.12.2009 № 9-4225 "О наделении органов местного самоуправления отдельных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жилого помещения"</t>
  </si>
  <si>
    <t>01.01.2010 - не установ</t>
  </si>
  <si>
    <t>Закон Красноярского края от 02.11.2000 № 12-961 "О защите прав ребенка"</t>
  </si>
  <si>
    <t>ст.17</t>
  </si>
  <si>
    <t>09.12.2000 - не установ</t>
  </si>
  <si>
    <t>Финансовое управление администрации города Канска</t>
  </si>
  <si>
    <t xml:space="preserve">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 </t>
  </si>
  <si>
    <t>0106, 0111, 0113</t>
  </si>
  <si>
    <t>ст16, пункт 1, п/пункт 1</t>
  </si>
  <si>
    <t>01.01.2011 - не установ</t>
  </si>
  <si>
    <t xml:space="preserve">Решение Канского городского Совета депутатов №31-170 от 15.03.2012 г. "О положении о Контрольно-счетной комиссии города Канска" </t>
  </si>
  <si>
    <t>21.03.2012 - не установ</t>
  </si>
  <si>
    <t>Постановление администрации города Канска №1538 от 08.09.2010 "Об утверждении Положения о порядке расходования средств резерного фонда администрации города Канска"</t>
  </si>
  <si>
    <t>22.09.2010 - не установ.</t>
  </si>
  <si>
    <t xml:space="preserve">муниципальное казенное учреждение "Управление по делам гражданской обороны и чрезвычайным ситуациям администрации города Канска" </t>
  </si>
  <si>
    <t xml:space="preserve">участие в предупреждении и ликвидации последствий чрезвычайных ситуаций в границах городского округа </t>
  </si>
  <si>
    <t>Федеральный закон от 21.12.1994 № 68-ФЗ "О защите населения и территорий от чрезвычайных ситуаций природного и техногенного характера"</t>
  </si>
  <si>
    <t>0309</t>
  </si>
  <si>
    <t>ст.11, пункт 2</t>
  </si>
  <si>
    <t>24.12.1994 - не установ</t>
  </si>
  <si>
    <t>Закон Красноярского края от 02.11.2001 № 16-1558 "О резервах материально-технических ресурсов для ликвидации чрезвычайных ситуаций на территории Красноярского края"</t>
  </si>
  <si>
    <t>03.12.2001 - не установ</t>
  </si>
  <si>
    <t>Закон Красноярского края от 10.02.2000 № 9-631 "О защите населения и территории Красноярского края от чрезвычайных ситуаций природного и техногенного характера"</t>
  </si>
  <si>
    <t>ст.9, пункт 1, п/пункт "и"</t>
  </si>
  <si>
    <t>01.03.2000 - не установ</t>
  </si>
  <si>
    <t>Постановление администрации г. Канска Красноярского края от 19.08.2015 №1308 "О городском звене территориальной подсистемы единой государственной системы предупреждения и ликвидации чрезвычайных ситуаций Красноярского края города Канска"</t>
  </si>
  <si>
    <t>26.08.2015 - не установ</t>
  </si>
  <si>
    <t xml:space="preserve">Постановление администрации г. Канска Красноярского края от 16.02.2012 N 197 (ред. от 11.10.2016) "Об организации функционирования межмуниципальной Единой дежурно-диспетчерской службы города Канска и Канского района Красноярского края с учетом ввода в действие системы обеспечения вызова экстренных оперативных служб через единый номер "112" (вместе с "Положением о межмуниципальной Единой дежурно-диспетчерской службе города Канска и Канского района Красноярского края с учетом ввода в действие системы обеспечения вызова экстренных оперативных служб через единый номер "112") </t>
  </si>
  <si>
    <t>Постановление администрации г. Канска Красноярского края от 20.11.2012 N 1770 (ред. от 06.11.2014) "Об утверждении Положения об автоматизированной системе централизованного оповещения гражданской обороны города Канска"</t>
  </si>
  <si>
    <t xml:space="preserve">обеспечение первичных мер пожарной безопасности в границах городского округа </t>
  </si>
  <si>
    <t>Федеральный закон от 21.12.1994 № 69-ФЗ "О пожарной безопасности"</t>
  </si>
  <si>
    <t>05.01.1995 - не установ</t>
  </si>
  <si>
    <t>ст.16, пункт 1, п/пункт 10</t>
  </si>
  <si>
    <t>ст.10;абз.3
ст.19
ст.31;абз.2</t>
  </si>
  <si>
    <t>ст.6 п 31</t>
  </si>
  <si>
    <t>Управление образование администрации города Канска</t>
  </si>
  <si>
    <t xml:space="preserve">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t>
  </si>
  <si>
    <t>0701,0702,0703,0707,0709</t>
  </si>
  <si>
    <t>ст.16, пункт 1, п/пункт 13</t>
  </si>
  <si>
    <t>Закон Красноярского края от 07.07.2009 № 8-3618  "Об обеспечении прав детей на отдых, оздоровление и занятость в Красноярском крае"</t>
  </si>
  <si>
    <t>31.07.2009 - не установ</t>
  </si>
  <si>
    <t>Закон Красноярского края от 26.06.2014 № 6-2519 "Об образовании в Красноярском крае"</t>
  </si>
  <si>
    <t>26.07.2014 - не установ</t>
  </si>
  <si>
    <t>ст.6 п 7.</t>
  </si>
  <si>
    <t>Постановление администрации города Канска от 20.03.2015 №397 "Об утверждении Положения о порядке установления и взимания родительской платы за присмотр и уход за детьми в образовательных учреждениях города Канска, реализующих образовательную программу дошкольного образования"</t>
  </si>
  <si>
    <t>01.04.2015 - не установ</t>
  </si>
  <si>
    <t>Решение Канского городского совета депутатов от 15.12.2010 № 11-74 "О положении о Муниципальном казенном учреждении "Управление образования администрации города Канска"</t>
  </si>
  <si>
    <t>29.12.2010 - не установ</t>
  </si>
  <si>
    <t>0702</t>
  </si>
  <si>
    <t>ст.26.3, пункт 2, п/пункт 13</t>
  </si>
  <si>
    <t>Федеральный закон от 29.12.2012 № 273-ФЗ "Об образовании в Российской Федерации"</t>
  </si>
  <si>
    <t>ст.8, часть 1, пункт 3</t>
  </si>
  <si>
    <t>30.12.2012 - не установ</t>
  </si>
  <si>
    <t>Постановление администрации города Канска от 16.06.2016 №541 "Об утверждении порядка расходования субвенций на финансовое обеспечение государственных гарантий реализации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расположенных на территории Красноярского края"</t>
  </si>
  <si>
    <t xml:space="preserve">Субвенции бюджетам муниципальных образований края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и негосударственных образовательных учреждениях, реализующих основные общеобразовательные программы, без взимания платы" </t>
  </si>
  <si>
    <t>ст.26.3, часть 2, пункт 24</t>
  </si>
  <si>
    <t>Закон Красноярского края от 27.12.2005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образовательных учреждениях, реализующих основные общеобразовательные программы, без взимания платы"</t>
  </si>
  <si>
    <t>cт.в целом</t>
  </si>
  <si>
    <t>13.01.2006 - не установ</t>
  </si>
  <si>
    <t>Постановление администрации г.Канска Красноярского края от 20.05.2010 № 803 "Об утверждении Порядка расходования субвенции на обеспечение питанием детей, обучающихся в муниципальных образовательных учреждениях, реализующих основные общеобразовательные программы, без взимания платы"</t>
  </si>
  <si>
    <t>09.06.2010 - не установ</t>
  </si>
  <si>
    <t>Субвенции бюджетам муниципальных образований края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поосуществлению присмотра и ухода за детьми-инвалидами, деьтми-сиротами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</si>
  <si>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cт.26.3, часть 2, пункт 13</t>
  </si>
  <si>
    <t>Закон Красноярского края от 27.12.2005 № 17-4379 "О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</si>
  <si>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01.01.2006 - не установ</t>
  </si>
  <si>
    <t>Постановление администрации г.Канска Красноярского края от 08.05.2014 № 671 "Об утверждении порядка расходования средств субвенции на осуществление государственных полномочий по осуществлению присмотра и уходу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и об отмене постановления администрации г. Канска от 15.06.2010 №940, от 02.04.2012 №469"</t>
  </si>
  <si>
    <t>14.05.2014 - не установ</t>
  </si>
  <si>
    <t>Субвенции бюджетам муниципальных образований края на реализацию Закона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</si>
  <si>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ст.26.3, часть 2, пункт 13</t>
  </si>
  <si>
    <t>Закон Красноярского края от 29.03.2007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</si>
  <si>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25.04.2007 - не установ</t>
  </si>
  <si>
    <t>Постановление администрации города Канска от 27.07.2017 г. №656 "О внесении изменений в постановление администрации г. Канска от 20.03.2015 №397"</t>
  </si>
  <si>
    <t>02.08.2017 - не установ</t>
  </si>
  <si>
    <t>0701</t>
  </si>
  <si>
    <t>Постановление администрации г. Канска Красноярского края от 17.10.2016 N 1045 "Об утверждении Порядка расходования средств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t>
  </si>
  <si>
    <t>19.10.2016 - не установ</t>
  </si>
  <si>
    <t>0709</t>
  </si>
  <si>
    <t>ст.26.3, пункт 6
ст.26.3, часть 2, пункт 24.2</t>
  </si>
  <si>
    <t>Закон Красноярского края от 20.12.2007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</si>
  <si>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Постановление администрации города Канска от 13.05.2010 № 754 "Об утверждении порядка расходования субвенции направленной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</si>
  <si>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19.05.2010 - не установ</t>
  </si>
  <si>
    <t xml:space="preserve">Муниципальное казенное учреждение "Управление строительства и жилищно-коммунального хозяйства  администрации города Канска" </t>
  </si>
  <si>
    <t>0505</t>
  </si>
  <si>
    <t>Постановление администрации города Канска от 31.12.10 № 2229 "Об утверждении Устава МУ "Служба заказчика"</t>
  </si>
  <si>
    <t>31.12.2010 не установ</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</si>
  <si>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</si>
  <si>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0502</t>
  </si>
  <si>
    <t>ст.16, пункт 1, п/пункт 4
ст.16, пункт 1, п/пункт 5</t>
  </si>
  <si>
    <t>Федеральный закон от 30.12.2004 № 210-ФЗ "Об основах регулирования тарифов организаций коммунального комплекса"</t>
  </si>
  <si>
    <t>ст. 5</t>
  </si>
  <si>
    <t>Постановление  администрации Красноярского  края от 24.05.1999 № 286-п "О Концепции реформирования и модернизации жилищно-коммунального хозяйства Красноярского края"</t>
  </si>
  <si>
    <t>ст. в целом</t>
  </si>
  <si>
    <t>24.05.1999 - не установ</t>
  </si>
  <si>
    <t>ст.6 п 4</t>
  </si>
  <si>
    <t xml:space="preserve">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t>
  </si>
  <si>
    <t>0409</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</si>
  <si>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</si>
  <si>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ст. 13, 34
ст.6, пункт 9</t>
  </si>
  <si>
    <t>12.11.2007 - не установ</t>
  </si>
  <si>
    <t>Закон Красноярского края от 10.11.2011 № 13-6411 "О дорожном фонде Красноярского края"</t>
  </si>
  <si>
    <t>01.01.2012 - не установ</t>
  </si>
  <si>
    <t>Постановление администрации г.Канска Красноярского края от 31.01.2013 № 82 "Об утверждении Порядка содержания и ремонта автомобильных дорог общего пользования местного значения на территории города Канска"</t>
  </si>
  <si>
    <t>06.02.2013 - не установ</t>
  </si>
  <si>
    <t>Решение Канского городского Совета депутатов от 25.09.2013 г. №52-278 "О муниципальном дорожном фонде города Канска"</t>
  </si>
  <si>
    <t>01.01.2014 - не установ</t>
  </si>
  <si>
    <t>ст.6 п 18</t>
  </si>
  <si>
    <t>cт.16, пункт 1, п/пункт 6</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</si>
  <si>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t>
  </si>
  <si>
    <t>0408</t>
  </si>
  <si>
    <t>cт.16, пункт 1, п/пункт 7</t>
  </si>
  <si>
    <t xml:space="preserve">Постановление  администрации Красноярского  края от 24.09.2001 № 670-п "О государственном регулировании цен (тарифов) в крае" </t>
  </si>
  <si>
    <t>14.10.2001 - не установ</t>
  </si>
  <si>
    <t>Закон Красноярского края от 09.12.2010 № 11-5424 "О транспортном обслуживании населения в Красноярском крае"</t>
  </si>
  <si>
    <t>ст. 7</t>
  </si>
  <si>
    <t>08.01.2011 - не установ</t>
  </si>
  <si>
    <t>Постановление администрации города Канска Красноярского края от 31.01.2017 г. №66 "Об утверждении Порядка предоставления субсидии из бюджета города юридическим лицам (за исключением государственных (муниципальных) учреждений), индивидуальным предпринимателям, выполняющим перевозки пассажиров по маршрутам регулярных перевозок в соответствии с программой пассажирских перевозок , субсидируемых за счет средств муниципального образования город Канск"</t>
  </si>
  <si>
    <t>01.02.2017 - не установ</t>
  </si>
  <si>
    <t xml:space="preserve">создание условий для обеспечения жителей городского округа услугами связи, общественного питания, торговли и бытового обслуживания </t>
  </si>
  <si>
    <t>ст.16, пункт 1, п/пункт 15</t>
  </si>
  <si>
    <t>Постановление администрации города Канска Красноярского края от 31.01.2017 №65 "Об утверждении Порядка предоставления субсидии из бюджета города юридическим лицам (за исключением государственных (муниципальных) учреждений), индивидуальным предпринимателям, физическим лицам на возмещение затрат, возникающих в результате оказания услуг населению по использованию общедоступных отделений бань по тарифам, не обеспечивающим возмещение издержек"</t>
  </si>
  <si>
    <t xml:space="preserve">создание условий для массового отдыха жителей городского округа и организация обустройства мест массового отдыха населения </t>
  </si>
  <si>
    <t>ст.16, пункт 1, п/пункт 20</t>
  </si>
  <si>
    <t>Закон Красноярского края от 28.06.2007 № 2-190 "О культуре"</t>
  </si>
  <si>
    <t>31.07.2007 - не установ</t>
  </si>
  <si>
    <t>ст.10, пункт 1, п/пункт "б"
ст.22</t>
  </si>
  <si>
    <t>Постановление администрации города Канска  от 23.04.2012 № 620 "Об утверждении Положения о порядке предоставления и расходования средств на организацию и проведение акарицидных обработок мест массового отдыха населения"</t>
  </si>
  <si>
    <t>02.05.2012 - не установ</t>
  </si>
  <si>
    <t>ст.6 п 12.</t>
  </si>
  <si>
    <t xml:space="preserve">организация ритуальных услуг и содержание мест захоронения </t>
  </si>
  <si>
    <t>0503</t>
  </si>
  <si>
    <t>ст.16, пункт 1, п/пункт 23</t>
  </si>
  <si>
    <t xml:space="preserve">Федеральный закон от 12.01.1996 № 8-ФЗ "О погребении и похоронном деле"  </t>
  </si>
  <si>
    <t>ст.9, пункт 3</t>
  </si>
  <si>
    <t>15.01.1996 - не установ</t>
  </si>
  <si>
    <t>Закон Красноярского края от 24.04.1997 № 13-487 "О семейных (родовых) захоронениях на территории Красноярского края"</t>
  </si>
  <si>
    <t>18.05.1997 - не установ</t>
  </si>
  <si>
    <t>Постановление администрации города Канска  от 11.03.2010 № 320 "Об утверждении Положения о порядке расходования средств городского бюджета, выделяемых на оплату работ по организации содержания мест захоронения на кладбищах г. Канска"</t>
  </si>
  <si>
    <t>14.04.2010 - не установ</t>
  </si>
  <si>
    <t>ст.6 п 28.</t>
  </si>
  <si>
    <t xml:space="preserve">организация сбора, вывоза, утилизации и переработки бытовых и промышленных отходов </t>
  </si>
  <si>
    <t>ст.16, пункт 1, п/пункт 24</t>
  </si>
  <si>
    <t>Федеральный закон от 24.06.1998 № 89-ФЗ "Об отходах производства и потребления"</t>
  </si>
  <si>
    <t>ст.8, пункт 1</t>
  </si>
  <si>
    <t>30.06.1998 - не установ</t>
  </si>
  <si>
    <t>Федеральный закон от 10.01.2002 № 7-ФЗ "Об охране окружающей среды"</t>
  </si>
  <si>
    <t>ст.7, пункт 1</t>
  </si>
  <si>
    <t>12.01.2002 - не установ</t>
  </si>
  <si>
    <t>Закон Красноярского края от 20.09.2013 № 5-1597 "Об экологической безопасности и охране окружающей среды в Красноярском крае"</t>
  </si>
  <si>
    <t>13.10.2013 - не установ</t>
  </si>
  <si>
    <t>ст.6 п 29.</t>
  </si>
  <si>
    <t>Постановление администрации города Канска от 23.09.2011 № 1775 "Об утверждении Порядка расходования средств, выделенных на разработку проектной документации и строительство полигона твердых бытовых отходов города Канска"</t>
  </si>
  <si>
    <t>28.09.2011 - не установ</t>
  </si>
  <si>
    <t xml:space="preserve">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 </t>
  </si>
  <si>
    <t>ст.16, пункт 1, п/пункт 25</t>
  </si>
  <si>
    <t>ст.6 п 23.</t>
  </si>
  <si>
    <t>ст.26.3, пункт 6</t>
  </si>
  <si>
    <t xml:space="preserve">Закон Красноярского края от 20.12.2012 № 3-959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 </t>
  </si>
  <si>
    <t>01.01.2013 - не установ</t>
  </si>
  <si>
    <t>22.02.2017 - не устан.</t>
  </si>
  <si>
    <t>ст.26.3, часть 2, пункт 49</t>
  </si>
  <si>
    <t>Закон Красноярского края от 13.06.2013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t>
  </si>
  <si>
    <t>11.07.2013 - не установ</t>
  </si>
  <si>
    <t xml:space="preserve">Отдел физической культуры, спорта и молодежной политики администрации г. Канска </t>
  </si>
  <si>
    <t>1105</t>
  </si>
  <si>
    <t>Решение Канского городского Совета депутатов Красноярского края от 16.11.2012 №43-223 "О Положении об отделе физической культуры, спорта и молодежной политики администрации города Канска"</t>
  </si>
  <si>
    <t>28.11.2012 не установ</t>
  </si>
  <si>
    <t>0703</t>
  </si>
  <si>
    <t xml:space="preserve">организация и осуществление мероприятий по работе с детьми и молодежью в городском округе </t>
  </si>
  <si>
    <t>0707</t>
  </si>
  <si>
    <t>ст.16, пункт 1, п/пункт 34</t>
  </si>
  <si>
    <t>Закон Красноярского края от 08.12.2006 № 20-5445 "О государственной молодежной политике Красноярского края"</t>
  </si>
  <si>
    <t>ст. 8</t>
  </si>
  <si>
    <t>06.01.2008 - не установ</t>
  </si>
  <si>
    <t>Постановление администрации города Канска от 16.06.2010 № 945 "Об утверждении Порядка расходования субсидии на поддержку деятельности Муниципального учреждения "Многопрофильный молодежный центр" города Канска"</t>
  </si>
  <si>
    <t>23.06.2010 - не установ</t>
  </si>
  <si>
    <t xml:space="preserve">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 </t>
  </si>
  <si>
    <t>1101</t>
  </si>
  <si>
    <t>ст.16, пункт 1, п/пункт 19</t>
  </si>
  <si>
    <t>Федеральный закон от 04.12.2007 № 329-ФЗ "О физической культуре и спорте в Российской Федерации"</t>
  </si>
  <si>
    <t>ст. 9</t>
  </si>
  <si>
    <t>30.03.2008 - не установ</t>
  </si>
  <si>
    <t xml:space="preserve">Отдел культуры администрации г. Канска </t>
  </si>
  <si>
    <t>0804</t>
  </si>
  <si>
    <t>Решение Канского городского Совета депутатов Красноярского края от 16.11.2012 №43-222 "О Положении об отделе культуры администрации города Канска"</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</si>
  <si>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</si>
  <si>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0801</t>
  </si>
  <si>
    <t>cт.16, пункт 1, п/пункт 16</t>
  </si>
  <si>
    <t>Постановление Правительства РФ от 26.06.1995 № 609 "Об утверждении Положения об основах хозяйственной деятельности и финансирования организаций культуры и искусства"</t>
  </si>
  <si>
    <t>21.07.1995 - не установ</t>
  </si>
  <si>
    <t>Федеральный закон от 29.12.1994 № 78-ФЗ "О библиотечном деле"</t>
  </si>
  <si>
    <t>02.01.1995 - не установ</t>
  </si>
  <si>
    <t xml:space="preserve">ст.10 </t>
  </si>
  <si>
    <t>Закон Красноярского края от 17.05.1999 № 6-400 "О библиотечном деле в Красноярском крае"</t>
  </si>
  <si>
    <t>27.06.1999 - не установ</t>
  </si>
  <si>
    <t>Постановление администрации г. Канска Красноярского края от 07.06.2016 №513 "Об утверждении Административного регламента исполнения муниципальной услуги по предоставлению доступа к оцифрованным краеведчиским изданиям, в том числе из фонда редких книг, хранящимся в Центральной городской библиотеке имени А.П. Чехова ЦБС г. Канска"</t>
  </si>
  <si>
    <t>22.06.2016 - не установ</t>
  </si>
  <si>
    <t>Постановление администрации г. Канска Красноярского края от 07.06.2016 № 514 "Об утверждении Административного регламента предоставления муниципальной услуги "Предоставление доступа к справочно-поисковому аппарату библиотек, базам данных ЦБС г. Канска"</t>
  </si>
  <si>
    <t>Постановление администрации города Канска от 07.08.2015 № 1235 "Об утверждении порядка расходования средств субсидии из краевого бюджета на комплектование книжных фондов муниципальных библиотек города Канска"</t>
  </si>
  <si>
    <t>26.08.2015  не установ</t>
  </si>
  <si>
    <t xml:space="preserve">создание условий для организации досуга и обеспечения жителей городского округа услугами организаций культуры </t>
  </si>
  <si>
    <t>ст.16, пункт 1, п/пункт 17</t>
  </si>
  <si>
    <t xml:space="preserve">Закон РФ от 09.10.1992 № 3612-1 "Основы законодательства Российской Федерации о культуре" </t>
  </si>
  <si>
    <t>ст. 40</t>
  </si>
  <si>
    <t>17.11.1992 - не установ</t>
  </si>
  <si>
    <t>ст. 22</t>
  </si>
  <si>
    <t>Постановление администрации города Канска от 07.06.2016 № 509 "Об утверждении Административного регламента по предоставлению муниципальной услуги "Запись на обзорные, тематические и интерактивные экскурсии".</t>
  </si>
  <si>
    <t xml:space="preserve">Постановление администрации города Канска 512 от 07.06.2016 г. Об утверждении Административного регламента по предоставлению муниципальной услуги "Предоставление информации о времени и месте культурно-досуговых мероприятий, анонсы данных мероприятий в электронном виде" </t>
  </si>
  <si>
    <t>Постановление администрации г. Канска Красноярского края от 07.06.2016 №515 "Об утверждении Административного регламента по предоставлению муниципальной услуги "Предоставление информации о проведении ярмарок, выставок народного творчества, ремесел на территории муниципального образования"</t>
  </si>
  <si>
    <t>Управление архитектуры и инвестиций администрации города Канска</t>
  </si>
  <si>
    <t>утверждение схемы размещения рекламных конструкций, выдача размещений на установку и эксплуатацию рекламных конструкций на территории городского округа</t>
  </si>
  <si>
    <t>Федеральный закон от 13.03.2006 №38-ФЗ "О рекламе"</t>
  </si>
  <si>
    <t>ст. 19</t>
  </si>
  <si>
    <t>15.03.2006- не установ</t>
  </si>
  <si>
    <t>Решение Канского городского Совета депутатов Красноярского края от 27.01.2011 № 14-85 "О правилах установки и эксплуатации рекламных конструкций на территории города Канска"</t>
  </si>
  <si>
    <t>02.02.2011 - не установ</t>
  </si>
  <si>
    <t>ст. 11</t>
  </si>
  <si>
    <t xml:space="preserve">Канский городской Совет депутатов </t>
  </si>
  <si>
    <t>0103, 0113</t>
  </si>
  <si>
    <t>0106</t>
  </si>
  <si>
    <t>Контрольно-счетная комиссия города Канска</t>
  </si>
  <si>
    <t>ст.34, пункт 9  ст.53, пункт 2</t>
  </si>
  <si>
    <t>ст.17; пункт 1, п/пункт 3</t>
  </si>
  <si>
    <t>ст.17,  пункт 1, п/пункт 5</t>
  </si>
  <si>
    <t>ст.57, пункт 1</t>
  </si>
  <si>
    <t>ст.5, пункт 1
ст.43, пункт 1</t>
  </si>
  <si>
    <t>ст.16; пункт 1, п/пункт 6</t>
  </si>
  <si>
    <t>ст.6 п.1</t>
  </si>
  <si>
    <t>1006</t>
  </si>
  <si>
    <t>Дополнительные гарантии муниципальным служащим в виде ежемесячных доплат к трудовой пенсии, пенсии за выслугу лет</t>
  </si>
  <si>
    <t>1001</t>
  </si>
  <si>
    <t>ст.20, пункт 5</t>
  </si>
  <si>
    <t>Решение Канского городского Совета депутатов Красноярского края от 02.07.2008 № 47-461 "О Порядке предоставления муниципальному служащему права на пенсию за выслугу лет за счет средств бюджета муниципального образования город Канск"</t>
  </si>
  <si>
    <t>ИТОГО</t>
  </si>
  <si>
    <t>Постановление администрации г. Канска Красноярского края от 18.01.2016 N 11 (ред. от 23.05.2016) "Об утверждении Административного регламента предоставления Муниципальным казенным учреждением "Управление образования администрации города Канска" муниципальной услуги по предоставлению информации об организации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учреждениях, расположенных на территории муниципального образования город Канск"</t>
  </si>
  <si>
    <t>27.01.2016- не установ</t>
  </si>
  <si>
    <t xml:space="preserve">Постановление администрации г. Канска Красноярского края от 16.02.2012 N 198 (ред. от 21.06.2016) "Об утверждении Административного регламента предоставления муниципальной услуги "Предоставление информации о проводимых на территории города спортивных и оздоровительных мероприятиях и прием заявок на участие в этих мероприятиях" </t>
  </si>
  <si>
    <t>22.02.2012 - не установ</t>
  </si>
  <si>
    <t>Постановление администрации г. Канска Красноярского края от 07.06.2016 N 511 "Об утверждении Административного регламента по предоставлению муниципальной услуги "Предоставление информации об организации дополнительного образования детей в сфере культуры"</t>
  </si>
  <si>
    <t>22.06.2016 не установ</t>
  </si>
  <si>
    <t>Устав от 17.07.2017 № 613 "Устав муниципального казенного учреждения "Межведомственный центр обслуживания"</t>
  </si>
  <si>
    <t>17.07.2017- не установ</t>
  </si>
  <si>
    <t>19.04.2017- не установ</t>
  </si>
  <si>
    <t xml:space="preserve">Устав МБУ "ММЦ" от 19.04.2017 №361 </t>
  </si>
  <si>
    <t>Отчетный период 2016 год</t>
  </si>
  <si>
    <t>Постановление администрации города Канска от 26.06.2017 г. №570 "Об утверждении порядка расходования 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t>
  </si>
  <si>
    <t>28.06.2017 не установ</t>
  </si>
  <si>
    <t>24-118 от 18.12.2017</t>
  </si>
  <si>
    <t>26.02.2015 не установ</t>
  </si>
  <si>
    <t>Итого</t>
  </si>
  <si>
    <t xml:space="preserve">финансирование органов местного самоуправления  </t>
  </si>
  <si>
    <t xml:space="preserve">финансирование органов местного самоуправления   </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</si>
  <si>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</si>
  <si>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на формирование и содержание архивных фондов субъекта Российской Федерации</t>
  </si>
  <si>
    <t>по составлению списков кандидатов в присяжные заседатели</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</si>
  <si>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</si>
  <si>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на организацию и осуществление деятельности по опеке и попечительству</t>
  </si>
  <si>
    <t>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</si>
  <si>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</si>
  <si>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владение, пользование и распоряжение имуществом, находящимся в муниципальной собственности городского округа</t>
  </si>
  <si>
    <t>создание условий для организации досуга и обеспечения жителей городского округа услугами организаций культуры</t>
  </si>
  <si>
    <t>организация ритуальных услуг и содержание мест захоронения</t>
  </si>
  <si>
    <t xml:space="preserve">организация сбора, вывоза, утилизации и переработки бытовых и промышленных отходов  </t>
  </si>
  <si>
    <t xml:space="preserve">утверждение схемы размещения рекламных конструкций, выдача размещений на установку и эксплуатацию рекламных конструкций на территории городского округа </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</si>
  <si>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</si>
  <si>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расходы на обслуживание муниципального долга</t>
  </si>
  <si>
    <t>1301</t>
  </si>
  <si>
    <t xml:space="preserve">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</si>
  <si>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определенными органами государственной власти субъектов РФ.</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</si>
  <si>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 - 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презда на общественном транспорте, иных социальных пособий, а также для возмещения расходов муниципальных образований в связи с представлением законами субъекта РФ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</si>
  <si>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РФ,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РФ</t>
  </si>
  <si>
    <t>сессия</t>
  </si>
  <si>
    <t>Постановление администрации города Канска от 24.10.2017 №951 "Об утверждении Порядка предоставления и расходования средств субсидии из краевого бюджета на финансирование создания и обеспечения деятельности муниципального ресурсного центра поддержки общественных инициатив".</t>
  </si>
  <si>
    <t>24.10.2017 - не установ.</t>
  </si>
  <si>
    <t xml:space="preserve">                           </t>
  </si>
  <si>
    <t xml:space="preserve"> 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</si>
  <si>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поддержка деятельности некоммерческих организаций, за исключением социально ориентированных некоммерческих организаций</t>
  </si>
  <si>
    <t>ст.66</t>
  </si>
  <si>
    <t>Решение Канского городского Совета депутатов от 25.11.2010 № 10-59 "О положение о Финансовом управлении администрации города Канска"</t>
  </si>
  <si>
    <t>Постановление администрации г. Канска Красноярского края от 31.10.2012 №1685 "О создании муниципального казенного учреждения "Централизованная бухгалтерия по ведению учета в сфере образования".</t>
  </si>
  <si>
    <t>31.10.2012 - не утанов</t>
  </si>
  <si>
    <t>Постановление администрации города Канска от 21.05.2018 г. №462 "Об утверждении Порядка расходования средств субвенции, направленной на осуществление органами местного самоуправления отдельных государственных полномочий в области архивного дела"</t>
  </si>
  <si>
    <t>Постановление администрации города Канска от 21.05.2018 №461 "Об утверждении Порядка расходования средств субвенции, направленной на осуществление органами местного самоуправления государственных полномочий по созданию и обеспечению деятельности административных комиссий"</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</si>
  <si>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</si>
  <si>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t>
  </si>
  <si>
    <t>Расходные обязательства, возникшие в результате принятия нормативных правовых актов городского округа, заключения договоров (соглашений),в рамках реализации вопросов местного значения городского округа</t>
  </si>
  <si>
    <t>Ст.34;Пункт 9 Ст.53;Пункт 2</t>
  </si>
  <si>
    <t>23.05.2018 не установ</t>
  </si>
  <si>
    <t>Постановление администрации г. Канска Красноярского края от 28.06.2018 №589 "Об утверждении Порядка расходования средств субвенции, направленной на осуществление государственных полномочий по составлению списков кандидатов в присяжные заседатели"</t>
  </si>
  <si>
    <t>04.07.2018 не установ</t>
  </si>
  <si>
    <t>Постановление администрации города Канска от 08.12.2017 №1116 "Об утверждении положения об условиях и порядке предоставления субсидии социально ориентированной некоммерческой организации на финансирование создания и обеспечения деятельности муниципального ресурсного центра поддержки общественных инициатив"</t>
  </si>
  <si>
    <t>13.12.2017 не установ</t>
  </si>
  <si>
    <t>Решение Канского городского Совета депутатов Красноярского края от 16.02.2011 № 15-91 "О Положении о порядке управления и распоряжения имуществом, находящимся в муниципальной собственности города Канска"</t>
  </si>
  <si>
    <t>Постановление администрации города Канска Красноярского края от 13.06.2018 г. № 543 "Об утверждении положения об обеспечении первичных мер пожарной безопасности в границах города Канска"</t>
  </si>
  <si>
    <t>20.06.2018 - не установ</t>
  </si>
  <si>
    <t>Постановление администрации г. Канска от 21.02.2017 г. № 139 "Об утверждении Порядка предоставления субсидии на компенсацию части платы граждан за коммунальные услуги"</t>
  </si>
  <si>
    <t>Постановление администрации города Канска Красноярского края от 28.02.2018 г. №172 "Об утверждении порядка расходования средств субвенции на оказание услуг по отлову и содержанию безнадзорных животных".</t>
  </si>
  <si>
    <t>07.03.2018 - не установ</t>
  </si>
  <si>
    <t>Постановление администрации города Канска от 14.03.2017 №228 "Об утверждении Порядка расходования средств субсидии из краевого бюджета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и порядок предоставления отчетности об их использовании"</t>
  </si>
  <si>
    <t>15.03.2017 - не установ</t>
  </si>
  <si>
    <t>Постановление администрация города Канска от 26.05.2016 г. №461 "Об организации питания детей, обучающихся в общеобразовательных организациях города Канска, без взимания платы".</t>
  </si>
  <si>
    <t>01.06.2016 - не установ</t>
  </si>
  <si>
    <t>0502,0505</t>
  </si>
  <si>
    <t>Постановление администрации города Канска от 19.04.2019 г. №333 "Об утверждении порядка расходования субсидии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t>
  </si>
  <si>
    <t>24.04.2019 - не установ.</t>
  </si>
  <si>
    <t>Постановление администрации города Канска от 19.04.2019 г. № 332 "Об утверждении Порядка расходования субвенции, направленной на осуществление государственных полномочий по организации и обеспечению отдыха и оздоровления детей."</t>
  </si>
  <si>
    <t>24.04.2019 - не установ</t>
  </si>
  <si>
    <t>Постановление администрации города Канска от 07.05.2019 г. №396 "Об утверждении Порядка расходования субсидии в рамках подпрограммы "Улучшение жилищных условий отдельных категорий граждан" государственной программы Красноярского края "Создание условий для обеспечения доступным и комфортным жильем граждан"</t>
  </si>
  <si>
    <t>15.05.2019 - не установ</t>
  </si>
  <si>
    <t xml:space="preserve">Постановление администрации города Канска от 11.04.2019 № 294 "Об утверждении порядка расходования средств субсидии, предоставляемой городу Канску Красноярского края в целях софинансирования мероприятий по поддержке и развитию малого и среднего предпринимательства" </t>
  </si>
  <si>
    <t>17.04.2019 не установ</t>
  </si>
  <si>
    <t>0605</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</si>
  <si>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</si>
  <si>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ст.16, пункт 1, п/пункт 37</t>
  </si>
  <si>
    <t>Cубвенции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 а также в сфере патронажа</t>
  </si>
  <si>
    <t>Закон края от 11.07.2019 года №7-2988 "О наделении органов местного самоуправления муниципальных районов и городских округов государственными полномочиями по организации и осуществлению деятельности по опеке и попечительству в отношении совершеннолетних граждан, а также в сфере патронажа"</t>
  </si>
  <si>
    <t>02.09.2008-не установ</t>
  </si>
  <si>
    <t>Решение Канского городского Совета депутатов №43-428 от 26.03.2008 г. "О Положении по управлению муниципальным долгом города Канска"</t>
  </si>
  <si>
    <t>02.04.2008 - не установ</t>
  </si>
  <si>
    <t>09.07.2008- не установ</t>
  </si>
  <si>
    <t>Постановление администрации города Канска от 29.10.2019 №1026 "О возложении полномочий по назначению, перерасчету и выплате пенсии за выслугу лет лицам, замещавшим должности муниципальной службы в городе Канске"</t>
  </si>
  <si>
    <t>01.01.2020 - не установ</t>
  </si>
  <si>
    <t>Постановление администрации г. Канска Красноярского края от 25.11.2019 г. №1124 "Об утверждении Порядка расходования средств субвенции, направленной на осуществление органами местного самоуправления государственных полномочий по организации и осуществлению деятельности по опеке и попечительству в отношении совершеннолетних граждан, а также в сфере патронажа".</t>
  </si>
  <si>
    <t xml:space="preserve"> 0909</t>
  </si>
  <si>
    <t>Решение Канского городского совета депутатов от 27.11.2017 г. №23-111 "О положении об управлении строителства и жилищно-коммунального хозяйства администрации города Канска"</t>
  </si>
  <si>
    <t>27.12.2017- не установ</t>
  </si>
  <si>
    <t>Решение Канского городского Совета депутатов Красноярского края от 03.04.2019 г.№ 40-235  "О Положении об Управлении архитектуры и градостроительства администрации города Канска"</t>
  </si>
  <si>
    <t>10.04.2019- не установ</t>
  </si>
  <si>
    <t>0412,0603</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</si>
  <si>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</si>
  <si>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Постановление администрации города Канска от 21.05.2020 г. №435 "Об утверждении Порядка предоставления наборов продуктов питания взамен обеспечения бесплатным горячим питание обучающимся, имеющим право на получение соответствующих мер социальной поддержки в соответствии с законодательством Красноярского края с 30.03.2020 года по 11.04.2020 года"</t>
  </si>
  <si>
    <t>21.05.2020 - не установ</t>
  </si>
  <si>
    <t>Постановление администрации города Канска от 24.05.2020 № 436 "Об утверждении Порядка предоставления наборов продуктов питания взамен обеспечения бесплатным горячим питанием обучающимся, имеющим право на получение соответствующих мер социальной поддержки в соответствии с законодательством Красноярского края с 13.04.2020 года по 30.04.2020 года"</t>
  </si>
  <si>
    <t>Постановление администрации города Канска от 26.05.2020 №445 "Об утверждении Порядка расходования иных межбюджетных трансфертов за содействие развитию налогового потенциала"</t>
  </si>
  <si>
    <t>27.11.2019 -не установ</t>
  </si>
  <si>
    <t>Постановление администрации города Канска от 07.07.2020 №587 "Об утверждении порядка расходования иных межбюджетных трансфертов, направленных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</si>
  <si>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08.07.2020 не установ</t>
  </si>
  <si>
    <t>Постановление администрации города Канска от 29.07.2020 №638 "Об утверждении Порядка расходования средств субсидии на завершение капитального ремонта, установку охранно-пожарной сигнализации в здании (помещениях) муниципального архива и оснащение  его стеллажным оборудованием.</t>
  </si>
  <si>
    <t>29.07.2020 - не установ</t>
  </si>
  <si>
    <t>27.05.2020 -не установ.</t>
  </si>
  <si>
    <t>Постановление администрации города Канска от 03.07.2020 г. № 577 "Об утверждении порядка предоставления субсидии из бюджета города Канска юридическим лицам (за исключением государственных (муниципальных) учреждений, индивидуальным предпринимателям, оказывающим услуги населению по пользованию общедоступными отделениями бань по тарифам, утвержденными администрацией города Канска, при фактическом неосуществлении деятельности по оказанию таких услуг в связи с введением ограничительных мер, направленных на предупреждение распротранения коронавирусной инфекции, в целях финансового обеспечения затрат, связанных с сохранением и последующим возобновлением деятельности по оказанию услуг пользования общедоступных бань населением после отмены ограничительных мер в 2020 году".</t>
  </si>
  <si>
    <t>08.07.2020 - 31.12.2020</t>
  </si>
  <si>
    <t>организация мероприятий по охране окружающей среды в границах городского округа</t>
  </si>
  <si>
    <t>0406</t>
  </si>
  <si>
    <t>ст.16, пункт 1, п/пункт 11</t>
  </si>
  <si>
    <t xml:space="preserve">Постановление Правительства Красноярского края от 20.04.2020 N 252-п "Об утверждении распределения субсидий на реализацию мероприятий в области обеспечения капитального ремонта, реконструкции и строительства гидротехнических сооружений в 2020 году" </t>
  </si>
  <si>
    <t>21.04.2020-не установ</t>
  </si>
  <si>
    <t>Постановление администрации города Канска от 03.09.2020 г. №726 "Об утверждении Порядка расходования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 Красноярского края"</t>
  </si>
  <si>
    <r>
      <rPr>
        <sz val="11"/>
        <rFont val="Times New Roman"/>
        <family val="1"/>
        <charset val="204"/>
      </rPr>
      <t>09.09.2020 -</t>
    </r>
    <r>
      <rPr>
        <sz val="11"/>
        <color theme="1"/>
        <rFont val="Times New Roman"/>
        <family val="1"/>
        <charset val="204"/>
      </rPr>
      <t xml:space="preserve"> не установ.</t>
    </r>
  </si>
  <si>
    <t>Постановление администрации города Канска от 14.10.2020 №929 "Об утверждении Порядка расходования иного межбюджетного трансферта на выплату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t>
  </si>
  <si>
    <t>Постановление администрации города Канска от 09.10.2020 № 915 "Об утверждении Порядка организации бесплатных перевозок обучающихся в муниципальных образовательных организациях, реализующих основные общеобразовательные программы".</t>
  </si>
  <si>
    <t>14.10.2020 - не установ.</t>
  </si>
  <si>
    <t>21.10.2020 - не установ.</t>
  </si>
  <si>
    <t>Субвенции бюджетам муниципальных образований для реализации отдельных государственных полномочий по осуществлению мониторинга состояния и развития лесной промышленности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лесного хозяйства"</t>
  </si>
  <si>
    <t>Постановление Правительства Красноярского края от 18.09.2020 №628-п "Об утверждении Порядка предоставления и распределения субсидий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t>
  </si>
  <si>
    <t>21.09.2020 - не установ</t>
  </si>
  <si>
    <t>Постановление Администрации города Канска от 27.10.2020 № 978 "Об утверждении Порядка расходования субсидии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t>
  </si>
  <si>
    <t>28.10.2020 - не установ.</t>
  </si>
  <si>
    <t>Реестр расходных обязательств города Канска на плановый период 2021-2023 годы</t>
  </si>
  <si>
    <t>Отчетный период 2020 год</t>
  </si>
  <si>
    <t xml:space="preserve">Решение Канского городского Совета депутатов Красноярского края от 28.08.2017 № 21-97 "О Правилах благоустройства территории муниципального образования город Канск" </t>
  </si>
  <si>
    <t>06.09.2017 - не установ.</t>
  </si>
  <si>
    <t>01.01.2021 - не установ.</t>
  </si>
  <si>
    <t>Постановление администрации города Канска Красноярского края от 16.10.2020 г. № 937 "О лимитах потребления электрической энергии, тепловой энергии и воды".</t>
  </si>
  <si>
    <t>Постановление администрации города Канска от 25.06.2020 № 544 "Об утверждении порядка расходования субсидии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t>
  </si>
  <si>
    <t>01.07.2020 - не установ.</t>
  </si>
  <si>
    <t>Постановление администрации города Канска от 30.12.2020 г. №1207 "Об утверждении порядка предоставления грантов в форме субсидии частным образовательным организациям, организациям, осуществляющим обучение, индивидуальным предпринимателям, государственным образовательным организациям, муниципальным образовательным организациям, в отношении которых Управлением образования администрации города Канска не осуществляются функции и полномочия учредителя, включенными в реестр поставщиков образовательных услуг в рамках системы персонифицированного финансирования, в связи с оказанием услуг по реализации дополнительных общеобразовательных программ в рамках системы персонифицированного финансирования"</t>
  </si>
  <si>
    <t>13.01.2021 - не установ.</t>
  </si>
  <si>
    <t>Соглашение о предоставлении субсидии из краевого бюджета бюджету города Канска Красноярского края на предоставление социальных выплат молодым семьям на приобретение (строительство) жилья. от 25.01.2021г. №04720000-1-2021-002</t>
  </si>
  <si>
    <t>Соглашение о предоставлении иного межбюджетного трансферта, имеющего целевое назначение, предоставляемого в 2021 году из краевого бюджета бюджету городского округа города Канск на финансовое обеспечение расходов по реализации проектов создания комфортной городской среды в малых городах и исторических поселениях в рамках проведения Всероссийского конкурса лучших проектов создания комфортной городской среды от 20.01.2021 №04720000-1-2021-003</t>
  </si>
  <si>
    <t xml:space="preserve">Соглашение о предоставлении субсидии бюджету городского округа города Канска на софинансирование муниципальных программ формирования современной городской среды от 20.01.2021 № 04720000-1-2021-001 </t>
  </si>
  <si>
    <t>Соглашение о предоставлении субсидии из бюджета субъекта РФ местному бюджету от 22.01.2021 №04720000-1-2019-011</t>
  </si>
  <si>
    <t>Соглашение о предоставлении субсидии из бюджета субъекта РФ местному бюджету от 22.01.2021 № 04720000-1-2021-007</t>
  </si>
  <si>
    <t>Закон Красноярского края от 26.03.2020 №9-3762 "О наделении органов местного самоуправления муниципальных районов, муниципальных округов и городских округов Красноярского края отдельными государственными полномочиями РФ по подготовке и проведению Всероссийской переписи населения 2020 года"</t>
  </si>
  <si>
    <t>08.04.2020 - не установ</t>
  </si>
  <si>
    <t>Постановление администрации города Канска от 11.02.2021 № 79 "Об утверждении Порядка расходования субвенции на проведение Всероссийской переписи населения"</t>
  </si>
  <si>
    <t>17.02.2021 - не установ</t>
  </si>
  <si>
    <t>Постановление администрации города Канска от 25.12.2020 №1161 "О предоставлении из бюджета города Канска муниципальным и бюджетным и автономным учреждениям субсидий на цели, не связанные с финансовым обеспечением выполнения муниципального задания на окзание муниципальных услуг (выполнение работ)"</t>
  </si>
  <si>
    <t>30.12.2020 - не установ</t>
  </si>
  <si>
    <t>22.01.2021 - 31.12.2021</t>
  </si>
  <si>
    <t>Постановление администрации города Канска от 24.10.2017 №951 "Об утверждении Порядка предоставления и расходования средств субсидии из краевого бюджета на финансирование создания и обеспечения деятельности муниципального ресурсного центра поддержки общест</t>
  </si>
  <si>
    <t xml:space="preserve">Постановление администрации города Канска от 25.02.2020 № 163 "Об организации трудового воспитания несовершеннолетних граждан" </t>
  </si>
  <si>
    <t>04.03.2020 - не установ</t>
  </si>
  <si>
    <t>Постановление администрации города Канска от 25.12.2020 №1161 "О предоставлении из бюджета города Канска муниципальным и бюджетным и автономным учреждениям субсидий на цели, не связанные с финансовым обеспечением выполнения муниципального задания на окзан</t>
  </si>
  <si>
    <t>Постановление администрации города Канска от 10.04.2017 №315 "Об утверждении Положения о порядке определения объема и предоставления субсидий социально ориентированным некоммерческим организациям, не являющимся государственными (муниципальными) учреждения</t>
  </si>
  <si>
    <t>Постановление администрации города Канска от 08.12.2017 №1116 "Об утверждении положения об условиях и порядке предоставления субсидии социально ориентированной некоммерческой организации на финансирование создания и обеспечения деятельности муниципального</t>
  </si>
  <si>
    <t>13.12.2017 -  не установ</t>
  </si>
  <si>
    <t>Соглашение о предоставлении субсидии бюджету города Канска из краевого бюджета от 15.03.2021 №1</t>
  </si>
  <si>
    <t>15.03.2021- 31.12.2021</t>
  </si>
  <si>
    <t>Постановление администрации города Канска от 21.06.2018 №554 "Об определении форм участия граждан в обеспечении первичных мер пожарной безопасности, в том числе в деятельности добровольной пожарной охраны на территории города Канска"</t>
  </si>
  <si>
    <t>11.07.2018- не установ</t>
  </si>
  <si>
    <t>Постановление администрации город Канска Красноярского кра от 20.09.2011 №1708 "Об участии населения в обеспечении дорожного движения и охране общественного порядка на территории муниципального образования город Канск"</t>
  </si>
  <si>
    <t>05.10.2011 - не установ</t>
  </si>
  <si>
    <t>Постановление администрации города Канска Красноярского края от 31.05.2019 №492 "Об утверждении порядка расходования субсидии, предоставляемой бюджету города Канска на строительство жилья помещений, выплату возмещения собственникам жилых помещений за изымаемое жилое помещение для переселения граждан, проживающих в жилых домах муниципальных образований, признанных в установленном порядке аварийными и подлежащими сносу или реконструкции, а также на снос таких домов после расселения граждан"</t>
  </si>
  <si>
    <t>31.05.2019 - не установ</t>
  </si>
  <si>
    <t>Соглашение о предоставлении субсидии бюджету города Канска из краевого бюджета от 30.04.2020 №04720000</t>
  </si>
  <si>
    <t>30.04.2020 - 31.12.2020</t>
  </si>
  <si>
    <t>Соглашение о предоставлении субсидии бюджету городского округа города Канска на софинансирование муниципальных программ формирования современной городской среды 20.01.2020 № 04720000-1-2020-005</t>
  </si>
  <si>
    <t>20.01.2020 - 31.12.2020</t>
  </si>
  <si>
    <t>25.01.2021- 31.12.2021</t>
  </si>
  <si>
    <t>2601, 2602</t>
  </si>
  <si>
    <t>2601.2602</t>
  </si>
  <si>
    <t>2522, 2523, 2525, 2526, 2527</t>
  </si>
  <si>
    <t>2541, 2542</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</si>
  <si>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гос.власти РФ и (или) орган гос. власти субъекта РФ</t>
  </si>
  <si>
    <t>Отдельные государственные полномочия, не переданные, но осуществляемые органами местного самоуправления городского округа за счет субвенций из бюджета субъекта</t>
  </si>
  <si>
    <r>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r>
    <r>
      <rPr>
        <sz val="11"/>
        <color rgb="FFFF0000"/>
        <rFont val="Times New Roman"/>
        <family val="1"/>
        <charset val="204"/>
      </rPr>
      <t xml:space="preserve"> (в части дошкольного образования в  муниципальных дошкольных образовательных организациях и муниципальных общеобразовательных организациях)</t>
    </r>
  </si>
  <si>
    <r>
      <t xml:space="preserve">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t>
    </r>
    <r>
      <rPr>
        <sz val="11"/>
        <color rgb="FFFF0000"/>
        <rFont val="Times New Roman"/>
        <family val="1"/>
        <charset val="204"/>
      </rPr>
      <t>(в части начального общего, основного общего, среднего общего образования в муниципальных общеобразовательных организациях в городской местности)</t>
    </r>
  </si>
  <si>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обеспечения дополнительного образования детей в муниципальных общеобразовательных организациях)</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</si>
  <si>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</si>
  <si>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 xml:space="preserve">Расходные обязательства, возникшие в результате принятия нормативных правовых актов городского округа, заключения договоров (соглашений)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</si>
  <si>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</si>
  <si>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оказание поддержки социально ориентированным некоммерческим организациям, благотворительной деятельности и добровольчеству (волонтерству)</t>
  </si>
  <si>
    <t xml:space="preserve"> 0412</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</si>
  <si>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t>
  </si>
  <si>
    <t>Расходные обязательства, возникшие в результате принятия нормативных правовых актов муниципального округа, городского округа, заключения договоров (соглашений) в рамках реализации органами местного самоуправления муниципального округа,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</si>
  <si>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Осуществление полномочий по проведению Всероссийской переписи населения 2020 года</t>
  </si>
  <si>
    <t>3201,   3202</t>
  </si>
  <si>
    <t>организация проведения официальных физкультурно-оздоровительных и спортивных мероприятий городского округа</t>
  </si>
  <si>
    <t xml:space="preserve"> оказание поддержки социально ориентированным некоммерческим организациям, благотворительной деятельности и добровольчеству волонтерству)</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</si>
  <si>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</si>
  <si>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Соглашение о предоставлении субсидии муниципальному образованию город Канск Красноярского края из краевого бюджета 26.01.2021 № 71-23-1С</t>
  </si>
  <si>
    <t>7-52 от 26.05.2021</t>
  </si>
  <si>
    <t>Соглашение о предоставлении субсидии из краевого бюджета бюджету муниципального образования города Канска Красноярского края на реализацию мероприятий, направленных на повышение безопасности дорожного движения, за счет средств дорожного фонда Красноярского края от 25.03.2021 г. №66/с</t>
  </si>
  <si>
    <t>25.03.2021  - не установ</t>
  </si>
  <si>
    <t>ст.6 п 17.</t>
  </si>
  <si>
    <t>Организация ритульных услуг и содержание мест захоронения</t>
  </si>
  <si>
    <t>Постановление Правительства РФ от 09.08.2019 №1036 "Об утверждении федеральной целевой программы "Увековечение памяти погибших при защите Отечества на 2019-2024 годы"</t>
  </si>
  <si>
    <t>13.08.2019 - не установ.</t>
  </si>
  <si>
    <t>Закон Красноярского края от 31.12.2019 №813-п  "Об утверждении Порядка предоставления и распределения субсидий бюджетам муниципальных образований на обустройство и востановление воинских захоронений"</t>
  </si>
  <si>
    <t>24.01.2020 -не установ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</si>
</sst>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1"/>
      <color theme="1"/>
      <name val="Calibri"/>
      <family val="2"/>
      <charset val="204"/>
      <scheme val="minor"/>
    </font>
    <font>
      <sz val="11"/>
      <color theme="1"/>
      <name val="Times New Roman"/>
      <family val="1"/>
      <charset val="204"/>
    </font>
    <font>
      <b/>
      <sz val="14"/>
      <color theme="1"/>
      <name val="Times New Roman"/>
      <family val="1"/>
      <charset val="204"/>
    </font>
    <font>
      <b/>
      <sz val="11"/>
      <color theme="1"/>
      <name val="Times New Roman"/>
      <family val="1"/>
      <charset val="204"/>
    </font>
    <font>
      <u/>
      <sz val="11"/>
      <color theme="10"/>
      <name val="Calibri"/>
      <family val="2"/>
      <charset val="204"/>
      <scheme val="minor"/>
    </font>
    <font>
      <u/>
      <sz val="11"/>
      <color theme="10"/>
      <name val="Times New Roman"/>
      <family val="1"/>
      <charset val="204"/>
    </font>
    <font>
      <u/>
      <sz val="11"/>
      <color theme="1"/>
      <name val="Times New Roman"/>
      <family val="1"/>
      <charset val="204"/>
    </font>
    <font>
      <sz val="11"/>
      <name val="Times New Roman"/>
      <family val="1"/>
      <charset val="204"/>
    </font>
    <font>
      <sz val="11"/>
      <color rgb="FFFF0000"/>
      <name val="Times New Roman"/>
      <family val="1"/>
      <charset val="204"/>
    </font>
    <font>
      <b/>
      <sz val="11"/>
      <color theme="1"/>
      <name val="Calibri"/>
      <family val="2"/>
      <charset val="204"/>
      <scheme val="minor"/>
    </font>
    <font>
      <sz val="9"/>
      <color indexed="81"/>
      <name val="Tahoma"/>
      <family val="2"/>
      <charset val="204"/>
    </font>
    <font>
      <b/>
      <sz val="9"/>
      <color indexed="81"/>
      <name val="Tahoma"/>
      <family val="2"/>
      <charset val="204"/>
    </font>
    <font>
      <sz val="9"/>
      <color indexed="81"/>
      <name val="Tahoma"/>
      <charset val="1"/>
    </font>
    <font>
      <b/>
      <sz val="9"/>
      <color indexed="81"/>
      <name val="Tahoma"/>
      <charset val="1"/>
    </font>
    <font>
      <i/>
      <sz val="11"/>
      <name val="Times New Roman"/>
      <family val="1"/>
      <charset val="204"/>
    </font>
    <font>
      <i/>
      <sz val="11"/>
      <color theme="1"/>
      <name val="Times New Roman"/>
      <family val="1"/>
      <charset val="204"/>
    </font>
  </fonts>
  <fills count="5">
    <fill>
      <patternFill patternType="none"/>
    </fill>
    <fill>
      <patternFill patternType="gray125"/>
    </fill>
    <fill>
      <patternFill patternType="solid">
        <fgColor theme="3" tint="0.79998168889431442"/>
        <bgColor indexed="64"/>
      </patternFill>
    </fill>
    <fill>
      <patternFill patternType="solid">
        <fgColor theme="8" tint="0.59999389629810485"/>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4" fillId="0" borderId="0" applyNumberFormat="0" applyFill="0" applyBorder="0" applyAlignment="0" applyProtection="0"/>
  </cellStyleXfs>
  <cellXfs count="355">
    <xf numFmtId="0" fontId="0" fillId="0" borderId="0" xfId="0"/>
    <xf numFmtId="0" fontId="1"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xf numFmtId="0" fontId="1" fillId="0" borderId="1" xfId="0" applyFont="1" applyBorder="1" applyAlignment="1">
      <alignment horizontal="center"/>
    </xf>
    <xf numFmtId="0" fontId="1" fillId="0" borderId="1" xfId="0" applyFont="1" applyBorder="1" applyAlignment="1">
      <alignment wrapText="1"/>
    </xf>
    <xf numFmtId="0" fontId="1" fillId="0" borderId="1" xfId="0" applyFont="1" applyBorder="1" applyAlignment="1">
      <alignment vertical="top"/>
    </xf>
    <xf numFmtId="0" fontId="3" fillId="0" borderId="1" xfId="0" applyFont="1" applyBorder="1" applyAlignment="1">
      <alignment horizontal="center" vertical="center"/>
    </xf>
    <xf numFmtId="0" fontId="1" fillId="0" borderId="1" xfId="0" applyFont="1" applyBorder="1" applyAlignment="1">
      <alignmen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xf>
    <xf numFmtId="0" fontId="1" fillId="0" borderId="1" xfId="0" applyFont="1" applyBorder="1" applyAlignment="1">
      <alignment horizontal="center" vertical="top" wrapText="1"/>
    </xf>
    <xf numFmtId="0" fontId="5" fillId="0" borderId="0" xfId="1" applyFont="1" applyAlignment="1">
      <alignment wrapText="1"/>
    </xf>
    <xf numFmtId="0" fontId="6" fillId="0" borderId="0" xfId="1" applyFont="1" applyAlignment="1">
      <alignment vertical="top" wrapText="1"/>
    </xf>
    <xf numFmtId="0" fontId="1" fillId="0" borderId="1" xfId="0" applyFont="1" applyBorder="1" applyAlignment="1">
      <alignment horizontal="center" vertical="center"/>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14" fontId="1" fillId="0" borderId="1" xfId="0" applyNumberFormat="1" applyFont="1" applyBorder="1" applyAlignment="1">
      <alignment horizontal="left" vertical="top" wrapText="1"/>
    </xf>
    <xf numFmtId="164" fontId="1" fillId="0" borderId="0" xfId="0" applyNumberFormat="1" applyFont="1"/>
    <xf numFmtId="0" fontId="1" fillId="0" borderId="2" xfId="0" applyFont="1" applyBorder="1" applyAlignment="1">
      <alignment vertical="top" wrapText="1"/>
    </xf>
    <xf numFmtId="49" fontId="1" fillId="0" borderId="1" xfId="0" applyNumberFormat="1" applyFont="1" applyBorder="1" applyAlignment="1">
      <alignment horizontal="center" vertical="top" wrapText="1"/>
    </xf>
    <xf numFmtId="0" fontId="3" fillId="0" borderId="1" xfId="0" applyFont="1" applyBorder="1" applyAlignment="1">
      <alignment horizontal="left" vertical="top"/>
    </xf>
    <xf numFmtId="0" fontId="3" fillId="0" borderId="0" xfId="0" applyFont="1"/>
    <xf numFmtId="0" fontId="3" fillId="0" borderId="1" xfId="0" applyFont="1" applyBorder="1" applyAlignment="1">
      <alignment vertical="top" wrapText="1"/>
    </xf>
    <xf numFmtId="0" fontId="1" fillId="0" borderId="0" xfId="0" applyFont="1" applyAlignment="1">
      <alignment horizontal="center"/>
    </xf>
    <xf numFmtId="49" fontId="3" fillId="0" borderId="1" xfId="0" applyNumberFormat="1" applyFont="1" applyBorder="1" applyAlignment="1">
      <alignment horizontal="center" vertical="top" wrapText="1"/>
    </xf>
    <xf numFmtId="0" fontId="1" fillId="0" borderId="1" xfId="0" applyFont="1" applyFill="1" applyBorder="1" applyAlignment="1">
      <alignment horizontal="left" vertical="top" wrapText="1"/>
    </xf>
    <xf numFmtId="0" fontId="3" fillId="0" borderId="2" xfId="0" applyFont="1" applyBorder="1" applyAlignment="1">
      <alignment horizontal="left" vertical="top" wrapText="1"/>
    </xf>
    <xf numFmtId="0" fontId="3" fillId="2" borderId="1" xfId="0" applyFont="1" applyFill="1" applyBorder="1" applyAlignment="1">
      <alignment horizontal="left" vertical="top" wrapText="1"/>
    </xf>
    <xf numFmtId="0" fontId="3" fillId="2" borderId="1" xfId="0" applyFont="1" applyFill="1" applyBorder="1" applyAlignment="1">
      <alignment horizontal="center" vertical="top" wrapText="1"/>
    </xf>
    <xf numFmtId="49" fontId="3" fillId="2" borderId="1" xfId="0" applyNumberFormat="1" applyFont="1" applyFill="1" applyBorder="1" applyAlignment="1">
      <alignment horizontal="center" vertical="top" wrapText="1"/>
    </xf>
    <xf numFmtId="0" fontId="3" fillId="3" borderId="1" xfId="0" applyFont="1" applyFill="1" applyBorder="1" applyAlignment="1">
      <alignment horizontal="left" vertical="top" wrapText="1"/>
    </xf>
    <xf numFmtId="0" fontId="3" fillId="3" borderId="1" xfId="0" applyFont="1" applyFill="1" applyBorder="1" applyAlignment="1">
      <alignment horizontal="center" vertical="top" wrapText="1"/>
    </xf>
    <xf numFmtId="49" fontId="3" fillId="3" borderId="1" xfId="0" applyNumberFormat="1" applyFont="1" applyFill="1" applyBorder="1" applyAlignment="1">
      <alignment horizontal="center" vertical="top" wrapText="1"/>
    </xf>
    <xf numFmtId="0" fontId="3" fillId="0" borderId="1" xfId="0" applyFont="1" applyFill="1" applyBorder="1" applyAlignment="1">
      <alignment horizontal="left" vertical="top" wrapText="1"/>
    </xf>
    <xf numFmtId="49" fontId="3" fillId="0" borderId="1" xfId="0" applyNumberFormat="1" applyFont="1" applyFill="1" applyBorder="1" applyAlignment="1">
      <alignment horizontal="center" vertical="top" wrapText="1"/>
    </xf>
    <xf numFmtId="0" fontId="3" fillId="3" borderId="1" xfId="0" applyFont="1" applyFill="1" applyBorder="1" applyAlignment="1">
      <alignment horizontal="center" vertical="center"/>
    </xf>
    <xf numFmtId="0" fontId="1" fillId="0" borderId="0" xfId="0" applyFont="1" applyAlignment="1">
      <alignment horizontal="right"/>
    </xf>
    <xf numFmtId="4" fontId="1" fillId="0" borderId="1" xfId="0" applyNumberFormat="1" applyFont="1" applyBorder="1" applyAlignment="1">
      <alignment horizontal="left" vertical="top" wrapText="1"/>
    </xf>
    <xf numFmtId="4" fontId="3" fillId="0" borderId="1" xfId="0" applyNumberFormat="1" applyFont="1" applyBorder="1" applyAlignment="1">
      <alignment horizontal="left" vertical="top" wrapText="1"/>
    </xf>
    <xf numFmtId="4" fontId="3" fillId="3" borderId="1" xfId="0" applyNumberFormat="1" applyFont="1" applyFill="1" applyBorder="1" applyAlignment="1">
      <alignment horizontal="left" vertical="top" wrapText="1"/>
    </xf>
    <xf numFmtId="4" fontId="3" fillId="3" borderId="1" xfId="0" applyNumberFormat="1" applyFont="1" applyFill="1" applyBorder="1" applyAlignment="1">
      <alignment horizontal="right" vertical="top" wrapText="1"/>
    </xf>
    <xf numFmtId="4" fontId="3" fillId="0" borderId="1" xfId="0" applyNumberFormat="1" applyFont="1" applyBorder="1" applyAlignment="1">
      <alignment horizontal="right" vertical="top" wrapText="1"/>
    </xf>
    <xf numFmtId="4" fontId="3" fillId="2" borderId="1" xfId="0" applyNumberFormat="1" applyFont="1" applyFill="1" applyBorder="1" applyAlignment="1">
      <alignment horizontal="left" vertical="top" wrapText="1"/>
    </xf>
    <xf numFmtId="4" fontId="3" fillId="0" borderId="1" xfId="0" applyNumberFormat="1" applyFont="1" applyFill="1" applyBorder="1" applyAlignment="1">
      <alignment horizontal="left" vertical="top" wrapText="1"/>
    </xf>
    <xf numFmtId="4" fontId="1" fillId="0" borderId="1" xfId="0" applyNumberFormat="1" applyFont="1" applyBorder="1" applyAlignment="1">
      <alignment horizontal="right" vertical="top" wrapText="1"/>
    </xf>
    <xf numFmtId="4" fontId="1" fillId="0" borderId="0" xfId="0" applyNumberFormat="1" applyFont="1" applyAlignment="1">
      <alignment horizontal="right"/>
    </xf>
    <xf numFmtId="4" fontId="3" fillId="3" borderId="1" xfId="0" applyNumberFormat="1" applyFont="1" applyFill="1" applyBorder="1" applyAlignment="1">
      <alignment horizontal="center" vertical="center"/>
    </xf>
    <xf numFmtId="4" fontId="3" fillId="0" borderId="1" xfId="0" applyNumberFormat="1" applyFont="1" applyBorder="1" applyAlignment="1">
      <alignment horizontal="center" vertical="center"/>
    </xf>
    <xf numFmtId="4" fontId="1" fillId="0" borderId="2"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4" fontId="1" fillId="0" borderId="4" xfId="0" applyNumberFormat="1" applyFont="1" applyBorder="1" applyAlignment="1">
      <alignment horizontal="center" vertical="top" wrapText="1"/>
    </xf>
    <xf numFmtId="4" fontId="1" fillId="0" borderId="2" xfId="0" applyNumberFormat="1" applyFont="1" applyBorder="1" applyAlignment="1">
      <alignment horizontal="left" vertical="top" wrapText="1"/>
    </xf>
    <xf numFmtId="4" fontId="1" fillId="0" borderId="4" xfId="0" applyNumberFormat="1" applyFont="1" applyBorder="1" applyAlignment="1">
      <alignment horizontal="left" vertical="top" wrapText="1"/>
    </xf>
    <xf numFmtId="4" fontId="1" fillId="0" borderId="3"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2" xfId="0" applyFont="1" applyFill="1" applyBorder="1" applyAlignment="1">
      <alignment horizontal="left" vertical="top"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vertical="top"/>
    </xf>
    <xf numFmtId="0" fontId="8" fillId="0" borderId="0" xfId="0" applyFont="1" applyAlignment="1">
      <alignment horizontal="left" vertical="top"/>
    </xf>
    <xf numFmtId="0" fontId="1" fillId="0" borderId="0" xfId="0" applyFont="1" applyAlignment="1">
      <alignment horizontal="left" vertical="top"/>
    </xf>
    <xf numFmtId="0" fontId="7" fillId="0" borderId="2" xfId="0" applyFont="1" applyBorder="1" applyAlignment="1">
      <alignment horizontal="left" vertical="top"/>
    </xf>
    <xf numFmtId="4" fontId="0" fillId="0" borderId="1" xfId="0" applyNumberFormat="1" applyBorder="1"/>
    <xf numFmtId="4" fontId="9" fillId="0" borderId="1" xfId="0" applyNumberFormat="1" applyFont="1" applyBorder="1"/>
    <xf numFmtId="4" fontId="0" fillId="0" borderId="0" xfId="0" applyNumberFormat="1"/>
    <xf numFmtId="0" fontId="3" fillId="0" borderId="1" xfId="0" applyFont="1" applyBorder="1"/>
    <xf numFmtId="0" fontId="1" fillId="0" borderId="3" xfId="0" applyFont="1" applyBorder="1" applyAlignment="1">
      <alignment horizontal="center" vertical="top" wrapText="1"/>
    </xf>
    <xf numFmtId="4" fontId="1" fillId="0" borderId="3" xfId="0" applyNumberFormat="1" applyFont="1" applyBorder="1" applyAlignment="1">
      <alignment horizontal="left" vertical="top" wrapText="1"/>
    </xf>
    <xf numFmtId="0" fontId="1" fillId="0" borderId="3" xfId="0" applyFont="1" applyBorder="1" applyAlignment="1">
      <alignment horizontal="left" vertical="top" wrapText="1"/>
    </xf>
    <xf numFmtId="49" fontId="1" fillId="0" borderId="3" xfId="0" applyNumberFormat="1" applyFont="1" applyBorder="1" applyAlignment="1">
      <alignment horizontal="center" vertical="top" wrapText="1"/>
    </xf>
    <xf numFmtId="0" fontId="7" fillId="0" borderId="1" xfId="0" applyFont="1" applyBorder="1" applyAlignment="1">
      <alignment horizontal="left" vertical="top" wrapText="1"/>
    </xf>
    <xf numFmtId="0" fontId="1" fillId="0" borderId="5" xfId="0" applyFont="1" applyBorder="1" applyAlignment="1">
      <alignment horizontal="left" vertical="top" wrapText="1"/>
    </xf>
    <xf numFmtId="4" fontId="1" fillId="0" borderId="9"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1" xfId="0" applyFont="1" applyBorder="1" applyAlignment="1">
      <alignment horizontal="center" vertical="center"/>
    </xf>
    <xf numFmtId="0" fontId="3" fillId="0" borderId="2" xfId="0" applyFont="1" applyBorder="1" applyAlignment="1">
      <alignment vertical="top" wrapText="1"/>
    </xf>
    <xf numFmtId="49" fontId="3" fillId="0" borderId="2" xfId="0" applyNumberFormat="1" applyFont="1" applyBorder="1" applyAlignment="1">
      <alignment horizontal="center" vertical="top" wrapText="1"/>
    </xf>
    <xf numFmtId="0" fontId="1" fillId="0" borderId="9" xfId="0" applyFont="1" applyBorder="1" applyAlignment="1">
      <alignment horizontal="center" vertical="top"/>
    </xf>
    <xf numFmtId="0" fontId="1" fillId="0" borderId="7" xfId="0" applyFont="1" applyBorder="1" applyAlignment="1">
      <alignment horizontal="left" vertical="top" wrapText="1"/>
    </xf>
    <xf numFmtId="0" fontId="1" fillId="0" borderId="3" xfId="0" applyFont="1" applyFill="1" applyBorder="1" applyAlignment="1">
      <alignment horizontal="center" vertical="top" wrapText="1"/>
    </xf>
    <xf numFmtId="0" fontId="1" fillId="0" borderId="2" xfId="0" applyFont="1" applyBorder="1" applyAlignment="1">
      <alignment horizontal="left" vertical="top" wrapText="1"/>
    </xf>
    <xf numFmtId="0" fontId="3" fillId="0" borderId="1" xfId="0" applyFont="1" applyBorder="1" applyAlignment="1">
      <alignment horizontal="center" vertical="top"/>
    </xf>
    <xf numFmtId="0" fontId="3" fillId="0" borderId="2" xfId="0" applyFont="1" applyBorder="1" applyAlignment="1">
      <alignment horizontal="center" vertical="top" wrapText="1"/>
    </xf>
    <xf numFmtId="4" fontId="1" fillId="0" borderId="3"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2" xfId="0" applyFont="1" applyBorder="1" applyAlignment="1">
      <alignment horizontal="center" vertical="top" wrapText="1"/>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0" fontId="1" fillId="0" borderId="11" xfId="0" applyFont="1" applyBorder="1" applyAlignment="1">
      <alignment horizontal="center" vertical="top"/>
    </xf>
    <xf numFmtId="0" fontId="1" fillId="0" borderId="11" xfId="0" applyFont="1" applyBorder="1" applyAlignment="1">
      <alignment horizontal="center" vertical="top" wrapText="1"/>
    </xf>
    <xf numFmtId="0" fontId="1" fillId="0" borderId="3" xfId="0" applyFont="1" applyBorder="1" applyAlignment="1">
      <alignment horizontal="left" vertical="top" wrapText="1"/>
    </xf>
    <xf numFmtId="0" fontId="1" fillId="0" borderId="3" xfId="0" applyFont="1" applyBorder="1" applyAlignment="1">
      <alignment vertical="top" wrapText="1"/>
    </xf>
    <xf numFmtId="4" fontId="1" fillId="0" borderId="2"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4" fontId="1" fillId="0" borderId="2" xfId="0" applyNumberFormat="1" applyFont="1" applyBorder="1" applyAlignment="1">
      <alignment horizontal="left" vertical="top" wrapText="1"/>
    </xf>
    <xf numFmtId="4" fontId="1" fillId="0" borderId="3" xfId="0" applyNumberFormat="1" applyFont="1" applyBorder="1" applyAlignment="1">
      <alignment horizontal="left" vertical="top" wrapText="1"/>
    </xf>
    <xf numFmtId="49" fontId="1" fillId="0" borderId="2"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 fontId="1" fillId="0" borderId="2" xfId="0" applyNumberFormat="1" applyFont="1" applyBorder="1" applyAlignment="1">
      <alignment horizontal="center" vertical="top"/>
    </xf>
    <xf numFmtId="4" fontId="1" fillId="0" borderId="4" xfId="0" applyNumberFormat="1" applyFont="1" applyBorder="1" applyAlignment="1">
      <alignment horizontal="center" vertical="top"/>
    </xf>
    <xf numFmtId="0" fontId="1" fillId="0" borderId="9" xfId="0" applyFont="1" applyBorder="1" applyAlignment="1">
      <alignment horizontal="center" vertical="top" wrapText="1"/>
    </xf>
    <xf numFmtId="0" fontId="1" fillId="0" borderId="12" xfId="0" applyFont="1" applyBorder="1" applyAlignment="1">
      <alignment horizontal="center" vertical="top" wrapText="1"/>
    </xf>
    <xf numFmtId="0" fontId="1" fillId="0" borderId="9" xfId="0" applyFont="1" applyBorder="1" applyAlignment="1">
      <alignment horizontal="left" vertical="top" wrapText="1"/>
    </xf>
    <xf numFmtId="0" fontId="1" fillId="0" borderId="12" xfId="0" applyFont="1" applyBorder="1" applyAlignment="1">
      <alignment horizontal="left" vertical="top" wrapText="1"/>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4" fontId="3" fillId="0" borderId="2" xfId="0" applyNumberFormat="1" applyFont="1" applyFill="1" applyBorder="1" applyAlignment="1">
      <alignment horizontal="center" vertical="center"/>
    </xf>
    <xf numFmtId="0" fontId="3" fillId="0" borderId="0" xfId="0" applyFont="1" applyFill="1"/>
    <xf numFmtId="0" fontId="3" fillId="0" borderId="2" xfId="0" applyFont="1" applyFill="1" applyBorder="1" applyAlignment="1">
      <alignment horizontal="left" vertical="center" wrapText="1"/>
    </xf>
    <xf numFmtId="0" fontId="3" fillId="0" borderId="3" xfId="0" applyFont="1" applyBorder="1" applyAlignment="1">
      <alignment horizontal="center" vertical="top" wrapText="1"/>
    </xf>
    <xf numFmtId="49" fontId="3" fillId="0" borderId="3" xfId="0" applyNumberFormat="1" applyFont="1" applyBorder="1" applyAlignment="1">
      <alignment horizontal="center" vertical="top" wrapText="1"/>
    </xf>
    <xf numFmtId="0" fontId="3" fillId="0" borderId="3" xfId="0" applyFont="1" applyBorder="1" applyAlignment="1">
      <alignment horizontal="left" vertical="top" wrapText="1"/>
    </xf>
    <xf numFmtId="0" fontId="3" fillId="0" borderId="12" xfId="0" applyFont="1" applyBorder="1" applyAlignment="1">
      <alignment horizontal="left" vertical="top" wrapText="1"/>
    </xf>
    <xf numFmtId="4" fontId="3" fillId="0" borderId="3" xfId="0" applyNumberFormat="1" applyFont="1" applyBorder="1" applyAlignment="1">
      <alignment horizontal="left" vertical="top" wrapText="1"/>
    </xf>
    <xf numFmtId="0" fontId="3" fillId="0" borderId="1" xfId="0" applyFont="1" applyFill="1" applyBorder="1" applyAlignment="1">
      <alignment horizontal="left" vertical="center" wrapText="1"/>
    </xf>
    <xf numFmtId="0" fontId="1" fillId="0" borderId="12" xfId="0" applyFont="1" applyBorder="1" applyAlignment="1">
      <alignment horizontal="left" vertical="top" wrapText="1"/>
    </xf>
    <xf numFmtId="4" fontId="1" fillId="0" borderId="2"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9" xfId="0" applyFont="1" applyBorder="1" applyAlignment="1">
      <alignment horizontal="center" vertical="top" wrapText="1"/>
    </xf>
    <xf numFmtId="0" fontId="1" fillId="0" borderId="4" xfId="0" applyFont="1" applyFill="1" applyBorder="1" applyAlignment="1">
      <alignment horizontal="left" vertical="top" wrapText="1"/>
    </xf>
    <xf numFmtId="4" fontId="3" fillId="0" borderId="2" xfId="0" applyNumberFormat="1" applyFont="1" applyBorder="1" applyAlignment="1">
      <alignment horizontal="left" vertical="top" wrapText="1"/>
    </xf>
    <xf numFmtId="49" fontId="1" fillId="0" borderId="9" xfId="0" applyNumberFormat="1" applyFont="1" applyBorder="1" applyAlignment="1">
      <alignment horizontal="center" vertical="top" wrapText="1"/>
    </xf>
    <xf numFmtId="4" fontId="1" fillId="0" borderId="4" xfId="0" applyNumberFormat="1" applyFont="1" applyBorder="1" applyAlignment="1">
      <alignment horizontal="left" vertical="top" wrapText="1"/>
    </xf>
    <xf numFmtId="4" fontId="1" fillId="0" borderId="0" xfId="0" applyNumberFormat="1" applyFont="1"/>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49" fontId="1" fillId="0" borderId="3"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4" fontId="1" fillId="0" borderId="4" xfId="0" applyNumberFormat="1" applyFont="1" applyBorder="1" applyAlignment="1">
      <alignment horizontal="center" vertical="top" wrapText="1"/>
    </xf>
    <xf numFmtId="0" fontId="1" fillId="0" borderId="2" xfId="0" applyFont="1" applyBorder="1" applyAlignment="1">
      <alignment horizontal="left" vertical="top" wrapText="1"/>
    </xf>
    <xf numFmtId="4" fontId="1" fillId="0" borderId="3" xfId="0" applyNumberFormat="1" applyFont="1" applyBorder="1" applyAlignment="1">
      <alignment horizontal="center" vertical="top" wrapText="1"/>
    </xf>
    <xf numFmtId="0" fontId="1" fillId="0" borderId="4" xfId="0" applyFont="1" applyBorder="1" applyAlignment="1">
      <alignment horizontal="center" vertical="top" wrapText="1"/>
    </xf>
    <xf numFmtId="0" fontId="1" fillId="0" borderId="3"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3" xfId="0" applyFont="1" applyBorder="1" applyAlignment="1">
      <alignment horizontal="left" vertical="top" wrapText="1"/>
    </xf>
    <xf numFmtId="4" fontId="1" fillId="0" borderId="2" xfId="0" applyNumberFormat="1" applyFont="1" applyBorder="1" applyAlignment="1">
      <alignment horizontal="center" vertical="top"/>
    </xf>
    <xf numFmtId="4" fontId="1" fillId="0" borderId="4" xfId="0" applyNumberFormat="1" applyFont="1" applyBorder="1" applyAlignment="1">
      <alignment horizontal="center" vertical="top"/>
    </xf>
    <xf numFmtId="0" fontId="1" fillId="0" borderId="2" xfId="0" applyFont="1" applyBorder="1" applyAlignment="1">
      <alignment vertical="top" wrapText="1"/>
    </xf>
    <xf numFmtId="0" fontId="1" fillId="0" borderId="2" xfId="0" applyFont="1" applyBorder="1" applyAlignment="1">
      <alignment vertical="top"/>
    </xf>
    <xf numFmtId="4" fontId="1" fillId="0" borderId="2" xfId="0" applyNumberFormat="1" applyFont="1" applyFill="1" applyBorder="1" applyAlignment="1">
      <alignment horizontal="center" vertical="top"/>
    </xf>
    <xf numFmtId="0" fontId="8" fillId="0" borderId="0" xfId="0" applyFont="1" applyAlignment="1">
      <alignment horizontal="left"/>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13" xfId="0" applyFont="1" applyBorder="1" applyAlignment="1">
      <alignment horizontal="center" vertical="top" wrapText="1"/>
    </xf>
    <xf numFmtId="0" fontId="1" fillId="0" borderId="3" xfId="0" applyFont="1" applyBorder="1" applyAlignment="1">
      <alignment horizontal="left" vertical="top"/>
    </xf>
    <xf numFmtId="0" fontId="1" fillId="0" borderId="2" xfId="0" applyFont="1" applyBorder="1" applyAlignment="1">
      <alignment horizontal="left" vertical="top" wrapText="1"/>
    </xf>
    <xf numFmtId="0" fontId="1" fillId="0" borderId="2" xfId="0" applyFont="1" applyBorder="1" applyAlignment="1">
      <alignment horizontal="center" vertical="top" wrapText="1"/>
    </xf>
    <xf numFmtId="0" fontId="7" fillId="0" borderId="0" xfId="0" applyFont="1"/>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4" fontId="1" fillId="0" borderId="2" xfId="0" applyNumberFormat="1" applyFont="1" applyBorder="1" applyAlignment="1">
      <alignment horizontal="left" vertical="top" wrapText="1"/>
    </xf>
    <xf numFmtId="4" fontId="1" fillId="0" borderId="3" xfId="0" applyNumberFormat="1" applyFont="1" applyBorder="1" applyAlignment="1">
      <alignment horizontal="left" vertical="top" wrapText="1"/>
    </xf>
    <xf numFmtId="4"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vertical="top" wrapText="1"/>
    </xf>
    <xf numFmtId="4" fontId="1" fillId="0" borderId="4" xfId="0" applyNumberFormat="1" applyFont="1" applyBorder="1" applyAlignment="1">
      <alignment horizontal="left"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 fontId="1" fillId="0" borderId="11"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 fontId="1" fillId="0" borderId="4" xfId="0" applyNumberFormat="1" applyFont="1" applyBorder="1" applyAlignment="1">
      <alignment horizontal="center" vertical="top" wrapText="1"/>
    </xf>
    <xf numFmtId="4"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4"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0" fontId="8"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4" fontId="1" fillId="0" borderId="2" xfId="0" applyNumberFormat="1" applyFont="1" applyBorder="1" applyAlignment="1">
      <alignment horizontal="left" vertical="top" wrapText="1"/>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0" fontId="1" fillId="0" borderId="10" xfId="0" applyFont="1" applyBorder="1" applyAlignment="1">
      <alignment horizontal="center" vertical="top" wrapText="1"/>
    </xf>
    <xf numFmtId="4" fontId="1" fillId="0" borderId="2" xfId="0" applyNumberFormat="1" applyFont="1" applyBorder="1" applyAlignment="1">
      <alignment horizontal="center" vertical="top" wrapText="1"/>
    </xf>
    <xf numFmtId="0" fontId="1" fillId="0" borderId="2" xfId="0" applyFont="1" applyBorder="1" applyAlignment="1">
      <alignment horizontal="left" vertical="top" wrapText="1"/>
    </xf>
    <xf numFmtId="4" fontId="7" fillId="0" borderId="2" xfId="0" applyNumberFormat="1" applyFont="1" applyFill="1" applyBorder="1" applyAlignment="1">
      <alignment horizontal="center" vertical="top" wrapText="1"/>
    </xf>
    <xf numFmtId="4" fontId="1" fillId="0" borderId="2"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2" xfId="0" applyFont="1" applyBorder="1" applyAlignment="1">
      <alignment horizontal="center" vertical="top" wrapText="1"/>
    </xf>
    <xf numFmtId="4" fontId="1" fillId="0" borderId="2" xfId="0" applyNumberFormat="1" applyFont="1" applyBorder="1" applyAlignment="1">
      <alignment horizontal="center" vertical="top" wrapText="1"/>
    </xf>
    <xf numFmtId="49" fontId="1" fillId="0" borderId="2" xfId="0" applyNumberFormat="1" applyFont="1" applyBorder="1" applyAlignment="1">
      <alignment horizontal="center" vertical="top" wrapText="1"/>
    </xf>
    <xf numFmtId="0" fontId="1" fillId="0" borderId="2" xfId="0" applyFont="1" applyBorder="1" applyAlignment="1">
      <alignment horizontal="left" vertical="top"/>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 fontId="1" fillId="0" borderId="4" xfId="0" applyNumberFormat="1" applyFont="1" applyBorder="1" applyAlignment="1">
      <alignment horizontal="center" vertical="top" wrapText="1"/>
    </xf>
    <xf numFmtId="0" fontId="1" fillId="4" borderId="1" xfId="0" applyFont="1" applyFill="1" applyBorder="1" applyAlignment="1">
      <alignment horizontal="left" vertical="top" wrapText="1"/>
    </xf>
    <xf numFmtId="4" fontId="1" fillId="0" borderId="3" xfId="0" applyNumberFormat="1" applyFont="1" applyBorder="1" applyAlignment="1">
      <alignment horizontal="center"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4"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4" fontId="1" fillId="0" borderId="4" xfId="0" applyNumberFormat="1" applyFont="1" applyBorder="1" applyAlignment="1">
      <alignment horizontal="left" vertical="top" wrapText="1"/>
    </xf>
    <xf numFmtId="0" fontId="1" fillId="0" borderId="4" xfId="0" applyFont="1" applyBorder="1" applyAlignment="1">
      <alignment horizontal="left" vertical="top" wrapText="1"/>
    </xf>
    <xf numFmtId="0" fontId="8" fillId="0" borderId="1" xfId="0" applyFont="1" applyBorder="1" applyAlignment="1">
      <alignment horizontal="left" vertical="top" wrapText="1"/>
    </xf>
    <xf numFmtId="14" fontId="1" fillId="4" borderId="1" xfId="0" applyNumberFormat="1" applyFont="1" applyFill="1" applyBorder="1" applyAlignment="1">
      <alignment horizontal="left" vertical="top" wrapText="1"/>
    </xf>
    <xf numFmtId="14" fontId="8" fillId="0" borderId="5" xfId="0" applyNumberFormat="1" applyFont="1" applyBorder="1" applyAlignment="1">
      <alignment horizontal="left" vertical="top" wrapText="1"/>
    </xf>
    <xf numFmtId="0" fontId="14" fillId="0" borderId="1" xfId="0" applyFont="1" applyFill="1" applyBorder="1" applyAlignment="1">
      <alignment horizontal="left" vertical="top" wrapText="1"/>
    </xf>
    <xf numFmtId="0" fontId="15" fillId="0" borderId="1" xfId="0" applyFont="1" applyBorder="1" applyAlignment="1">
      <alignment horizontal="left" vertical="top" wrapText="1"/>
    </xf>
    <xf numFmtId="0" fontId="1" fillId="0" borderId="2" xfId="0" applyFont="1" applyBorder="1" applyAlignment="1">
      <alignment horizontal="left" vertical="top" wrapText="1"/>
    </xf>
    <xf numFmtId="4" fontId="1" fillId="0" borderId="4" xfId="0" applyNumberFormat="1" applyFont="1" applyBorder="1" applyAlignment="1">
      <alignment horizontal="center" vertical="top" wrapText="1"/>
    </xf>
    <xf numFmtId="0" fontId="14" fillId="0" borderId="1" xfId="0" applyFont="1" applyBorder="1" applyAlignment="1">
      <alignment horizontal="left" vertical="top" wrapText="1"/>
    </xf>
    <xf numFmtId="0" fontId="15" fillId="0" borderId="7" xfId="0" applyFont="1" applyBorder="1" applyAlignment="1">
      <alignment horizontal="left" vertical="top" wrapText="1"/>
    </xf>
    <xf numFmtId="0" fontId="15" fillId="0" borderId="1" xfId="0" applyFont="1" applyBorder="1" applyAlignment="1">
      <alignment vertical="top" wrapText="1"/>
    </xf>
    <xf numFmtId="0" fontId="15" fillId="0" borderId="1" xfId="0" applyFont="1" applyFill="1" applyBorder="1" applyAlignment="1">
      <alignment horizontal="left" vertical="top" wrapText="1"/>
    </xf>
    <xf numFmtId="0" fontId="1" fillId="0" borderId="11" xfId="0" applyFont="1" applyBorder="1" applyAlignment="1">
      <alignment horizontal="left" vertical="top" wrapText="1"/>
    </xf>
    <xf numFmtId="4" fontId="1" fillId="0" borderId="4" xfId="0" applyNumberFormat="1" applyFont="1" applyBorder="1" applyAlignment="1">
      <alignment horizontal="center" vertical="top" wrapText="1"/>
    </xf>
    <xf numFmtId="14" fontId="7" fillId="0" borderId="1" xfId="0" applyNumberFormat="1" applyFont="1" applyBorder="1" applyAlignment="1">
      <alignment horizontal="left" vertical="top" wrapText="1"/>
    </xf>
    <xf numFmtId="0" fontId="7" fillId="0" borderId="5" xfId="0" applyFont="1" applyBorder="1" applyAlignment="1">
      <alignment horizontal="left" vertical="top" wrapText="1"/>
    </xf>
    <xf numFmtId="0" fontId="1" fillId="0" borderId="2" xfId="0" applyFont="1" applyBorder="1" applyAlignment="1">
      <alignment horizontal="left" vertical="top" wrapText="1"/>
    </xf>
    <xf numFmtId="4" fontId="1" fillId="0" borderId="4" xfId="0" applyNumberFormat="1" applyFont="1" applyBorder="1" applyAlignment="1">
      <alignment horizontal="center" vertical="top" wrapText="1"/>
    </xf>
    <xf numFmtId="0" fontId="1" fillId="0" borderId="2" xfId="0" applyFont="1" applyBorder="1" applyAlignment="1">
      <alignment horizontal="left" vertical="top" wrapText="1"/>
    </xf>
    <xf numFmtId="0" fontId="1" fillId="0" borderId="4" xfId="0" applyFont="1" applyBorder="1" applyAlignment="1">
      <alignment horizontal="center" vertical="top" wrapText="1"/>
    </xf>
    <xf numFmtId="4"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4" fontId="1" fillId="0" borderId="4" xfId="0" applyNumberFormat="1" applyFont="1" applyBorder="1" applyAlignment="1">
      <alignment horizontal="left" vertical="top" wrapText="1"/>
    </xf>
    <xf numFmtId="0" fontId="7" fillId="4" borderId="1" xfId="0" applyFont="1" applyFill="1" applyBorder="1" applyAlignment="1">
      <alignment horizontal="left" vertical="top" wrapText="1"/>
    </xf>
    <xf numFmtId="0" fontId="1" fillId="0" borderId="2" xfId="0" applyFont="1" applyBorder="1" applyAlignment="1">
      <alignment horizontal="center" vertical="top" wrapText="1"/>
    </xf>
    <xf numFmtId="4" fontId="1" fillId="0" borderId="2"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49" fontId="1" fillId="0" borderId="3" xfId="0" applyNumberFormat="1" applyFont="1" applyBorder="1" applyAlignment="1">
      <alignment horizontal="center" vertical="top" wrapText="1"/>
    </xf>
    <xf numFmtId="0" fontId="3" fillId="0" borderId="4" xfId="0" applyFont="1" applyFill="1" applyBorder="1" applyAlignment="1">
      <alignment horizontal="center" vertical="top" wrapText="1"/>
    </xf>
    <xf numFmtId="0" fontId="3" fillId="0" borderId="4" xfId="0" applyFont="1" applyBorder="1" applyAlignment="1">
      <alignment horizontal="left" vertical="top" wrapText="1"/>
    </xf>
    <xf numFmtId="0" fontId="3" fillId="0" borderId="4" xfId="0" applyFont="1" applyBorder="1" applyAlignment="1">
      <alignment horizontal="center" vertical="top" wrapText="1"/>
    </xf>
    <xf numFmtId="49" fontId="3" fillId="0" borderId="4" xfId="0" applyNumberFormat="1" applyFont="1" applyBorder="1" applyAlignment="1">
      <alignment horizontal="center" vertical="top" wrapText="1"/>
    </xf>
    <xf numFmtId="4" fontId="1" fillId="0" borderId="2" xfId="0" applyNumberFormat="1" applyFont="1" applyBorder="1" applyAlignment="1">
      <alignment horizontal="right" vertical="top" wrapText="1"/>
    </xf>
    <xf numFmtId="4" fontId="1" fillId="0" borderId="1" xfId="0" applyNumberFormat="1" applyFont="1" applyBorder="1" applyAlignment="1">
      <alignment horizontal="center" vertical="top" wrapText="1"/>
    </xf>
    <xf numFmtId="4" fontId="3" fillId="0" borderId="4" xfId="0" applyNumberFormat="1" applyFont="1" applyBorder="1" applyAlignment="1">
      <alignment horizontal="center" vertical="top" wrapText="1"/>
    </xf>
    <xf numFmtId="0" fontId="1" fillId="0" borderId="15" xfId="0" applyFont="1" applyBorder="1" applyAlignment="1">
      <alignment horizontal="center"/>
    </xf>
    <xf numFmtId="4" fontId="1" fillId="0" borderId="19" xfId="0" applyNumberFormat="1" applyFont="1" applyBorder="1" applyAlignment="1">
      <alignment horizontal="right"/>
    </xf>
    <xf numFmtId="4" fontId="1" fillId="0" borderId="1" xfId="0" applyNumberFormat="1" applyFont="1" applyBorder="1" applyAlignment="1">
      <alignment horizontal="right"/>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2" xfId="0" applyFont="1" applyBorder="1" applyAlignment="1">
      <alignment horizontal="center" vertical="top"/>
    </xf>
    <xf numFmtId="0" fontId="1" fillId="0" borderId="3" xfId="0" applyFont="1" applyBorder="1" applyAlignment="1">
      <alignment horizontal="center" vertical="top"/>
    </xf>
    <xf numFmtId="0" fontId="3" fillId="0" borderId="1" xfId="0" applyFont="1" applyBorder="1" applyAlignment="1">
      <alignment horizontal="left" vertical="top" wrapText="1"/>
    </xf>
    <xf numFmtId="0" fontId="1" fillId="3" borderId="1" xfId="0" applyFont="1" applyFill="1" applyBorder="1" applyAlignment="1">
      <alignment horizontal="left" vertical="top" wrapText="1"/>
    </xf>
    <xf numFmtId="0" fontId="1" fillId="0" borderId="2" xfId="0" applyFont="1" applyBorder="1" applyAlignment="1">
      <alignment horizontal="center" vertical="top" wrapText="1"/>
    </xf>
    <xf numFmtId="0" fontId="1" fillId="0" borderId="4"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left" vertical="top" wrapText="1"/>
    </xf>
    <xf numFmtId="49" fontId="1" fillId="0" borderId="3"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0" fontId="1" fillId="0" borderId="8" xfId="0" applyFont="1" applyBorder="1" applyAlignment="1">
      <alignment horizontal="left" vertical="top" wrapText="1"/>
    </xf>
    <xf numFmtId="0" fontId="1" fillId="0" borderId="14" xfId="0" applyFont="1" applyBorder="1" applyAlignment="1">
      <alignment horizontal="left" vertical="top" wrapText="1"/>
    </xf>
    <xf numFmtId="0" fontId="3" fillId="0" borderId="5" xfId="0" applyFont="1"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4" fontId="1" fillId="0" borderId="2"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49" fontId="1" fillId="0" borderId="2"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4" fontId="1" fillId="0" borderId="4" xfId="0" applyNumberFormat="1" applyFont="1" applyBorder="1" applyAlignment="1">
      <alignment horizontal="center" vertical="top" wrapText="1"/>
    </xf>
    <xf numFmtId="4" fontId="7" fillId="0" borderId="2" xfId="0" applyNumberFormat="1" applyFont="1" applyBorder="1" applyAlignment="1">
      <alignment horizontal="center" vertical="top" wrapText="1"/>
    </xf>
    <xf numFmtId="4" fontId="7" fillId="0" borderId="3" xfId="0" applyNumberFormat="1" applyFont="1" applyBorder="1" applyAlignment="1">
      <alignment horizontal="center" vertical="top" wrapText="1"/>
    </xf>
    <xf numFmtId="4" fontId="7" fillId="0" borderId="2" xfId="0" applyNumberFormat="1" applyFont="1" applyBorder="1" applyAlignment="1">
      <alignment horizontal="left" vertical="top" wrapText="1"/>
    </xf>
    <xf numFmtId="4" fontId="7" fillId="0" borderId="3" xfId="0" applyNumberFormat="1" applyFont="1" applyBorder="1" applyAlignment="1">
      <alignment horizontal="left"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4" fontId="1" fillId="0" borderId="2" xfId="0" applyNumberFormat="1" applyFont="1" applyBorder="1" applyAlignment="1">
      <alignment horizontal="left" vertical="top" wrapText="1"/>
    </xf>
    <xf numFmtId="4" fontId="1" fillId="0" borderId="3" xfId="0" applyNumberFormat="1" applyFont="1" applyBorder="1" applyAlignment="1">
      <alignment horizontal="left" vertical="top" wrapText="1"/>
    </xf>
    <xf numFmtId="4" fontId="1" fillId="0" borderId="4" xfId="0" applyNumberFormat="1" applyFont="1" applyBorder="1" applyAlignment="1">
      <alignment horizontal="left" vertical="top" wrapText="1"/>
    </xf>
    <xf numFmtId="4" fontId="1" fillId="0" borderId="2" xfId="0" applyNumberFormat="1" applyFont="1" applyBorder="1" applyAlignment="1">
      <alignment horizontal="center" vertical="top"/>
    </xf>
    <xf numFmtId="4" fontId="1" fillId="0" borderId="4" xfId="0" applyNumberFormat="1" applyFont="1" applyBorder="1" applyAlignment="1">
      <alignment horizontal="center" vertical="top"/>
    </xf>
    <xf numFmtId="0" fontId="1" fillId="0" borderId="0" xfId="0" applyFont="1" applyAlignment="1">
      <alignment horizontal="left"/>
    </xf>
    <xf numFmtId="0" fontId="1" fillId="0" borderId="4" xfId="0" applyFont="1" applyBorder="1" applyAlignment="1">
      <alignment horizontal="left" vertical="top" wrapText="1"/>
    </xf>
    <xf numFmtId="0" fontId="7" fillId="0" borderId="2" xfId="0" applyFont="1" applyBorder="1" applyAlignment="1">
      <alignment horizontal="center" vertical="top"/>
    </xf>
    <xf numFmtId="0" fontId="7" fillId="0" borderId="4" xfId="0" applyFont="1" applyBorder="1" applyAlignment="1">
      <alignment horizontal="center" vertical="top"/>
    </xf>
    <xf numFmtId="0" fontId="1" fillId="0" borderId="2" xfId="0" applyFont="1" applyBorder="1" applyAlignment="1">
      <alignment horizontal="center" vertical="top"/>
    </xf>
    <xf numFmtId="0" fontId="1" fillId="0" borderId="4" xfId="0" applyFont="1" applyBorder="1" applyAlignment="1">
      <alignment horizontal="center" vertical="top"/>
    </xf>
    <xf numFmtId="0" fontId="1" fillId="0" borderId="3" xfId="0" applyFont="1" applyBorder="1" applyAlignment="1">
      <alignment horizontal="center" vertical="top"/>
    </xf>
    <xf numFmtId="0" fontId="1" fillId="0" borderId="2" xfId="0" applyFont="1" applyBorder="1" applyAlignment="1">
      <alignment horizontal="left" vertical="top"/>
    </xf>
    <xf numFmtId="0" fontId="1" fillId="0" borderId="3" xfId="0" applyFont="1" applyBorder="1" applyAlignment="1">
      <alignment horizontal="left" vertical="top"/>
    </xf>
    <xf numFmtId="4" fontId="1" fillId="0" borderId="2" xfId="0" applyNumberFormat="1" applyFont="1" applyFill="1" applyBorder="1" applyAlignment="1">
      <alignment horizontal="center" vertical="top" wrapText="1"/>
    </xf>
    <xf numFmtId="4" fontId="1" fillId="0" borderId="4" xfId="0" applyNumberFormat="1" applyFont="1" applyFill="1" applyBorder="1" applyAlignment="1">
      <alignment horizontal="center" vertical="top" wrapText="1"/>
    </xf>
    <xf numFmtId="4" fontId="1" fillId="0" borderId="3" xfId="0" applyNumberFormat="1" applyFont="1" applyFill="1" applyBorder="1" applyAlignment="1">
      <alignment horizontal="center" vertical="top" wrapText="1"/>
    </xf>
    <xf numFmtId="0" fontId="5" fillId="0" borderId="2" xfId="1" applyFont="1" applyBorder="1" applyAlignment="1">
      <alignment horizontal="center" wrapText="1"/>
    </xf>
    <xf numFmtId="0" fontId="5" fillId="0" borderId="3" xfId="1" applyFont="1" applyBorder="1" applyAlignment="1">
      <alignment horizontal="center" wrapText="1"/>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49" fontId="1" fillId="0" borderId="11" xfId="0" applyNumberFormat="1" applyFont="1" applyBorder="1" applyAlignment="1">
      <alignment horizontal="center" vertical="top" wrapText="1"/>
    </xf>
    <xf numFmtId="14" fontId="1" fillId="0" borderId="2" xfId="0" applyNumberFormat="1" applyFont="1" applyBorder="1" applyAlignment="1">
      <alignment horizontal="left" vertical="top" wrapText="1"/>
    </xf>
    <xf numFmtId="14" fontId="1" fillId="0" borderId="4" xfId="0" applyNumberFormat="1" applyFont="1" applyBorder="1" applyAlignment="1">
      <alignment horizontal="left" vertical="top" wrapText="1"/>
    </xf>
    <xf numFmtId="14" fontId="1" fillId="0" borderId="3" xfId="0" applyNumberFormat="1" applyFont="1" applyBorder="1" applyAlignment="1">
      <alignment horizontal="left" vertical="top" wrapText="1"/>
    </xf>
    <xf numFmtId="0" fontId="3" fillId="0" borderId="1" xfId="0" applyFont="1" applyBorder="1" applyAlignment="1">
      <alignment horizontal="left" vertical="top" wrapText="1"/>
    </xf>
    <xf numFmtId="0" fontId="0" fillId="0" borderId="3" xfId="0" applyBorder="1" applyAlignment="1">
      <alignment horizontal="center" vertical="top" wrapText="1"/>
    </xf>
    <xf numFmtId="0" fontId="1" fillId="0" borderId="10" xfId="0" applyFont="1" applyBorder="1" applyAlignment="1">
      <alignment horizontal="center" vertical="top" wrapText="1"/>
    </xf>
    <xf numFmtId="0" fontId="1" fillId="0" borderId="13" xfId="0" applyFont="1" applyBorder="1" applyAlignment="1">
      <alignment horizontal="center" vertical="top"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xf>
    <xf numFmtId="0" fontId="1" fillId="0" borderId="1" xfId="0" applyFont="1" applyBorder="1" applyAlignment="1">
      <alignment horizontal="center" wrapText="1"/>
    </xf>
    <xf numFmtId="0" fontId="0" fillId="0" borderId="1" xfId="0" applyBorder="1" applyAlignment="1">
      <alignment horizontal="center" wrapText="1"/>
    </xf>
    <xf numFmtId="0" fontId="1" fillId="0" borderId="2"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3" xfId="0" applyFont="1" applyFill="1" applyBorder="1" applyAlignment="1">
      <alignment horizontal="center" vertical="top" wrapText="1"/>
    </xf>
    <xf numFmtId="4" fontId="1" fillId="0" borderId="9" xfId="0" applyNumberFormat="1" applyFont="1" applyBorder="1" applyAlignment="1">
      <alignment horizontal="left" vertical="top" wrapText="1"/>
    </xf>
    <xf numFmtId="4" fontId="1" fillId="0" borderId="11" xfId="0" applyNumberFormat="1" applyFont="1" applyBorder="1" applyAlignment="1">
      <alignment horizontal="left" vertical="top" wrapText="1"/>
    </xf>
    <xf numFmtId="0" fontId="2" fillId="0" borderId="0" xfId="0" applyFont="1" applyAlignment="1">
      <alignment horizontal="center"/>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xf>
    <xf numFmtId="0" fontId="1" fillId="0" borderId="14" xfId="0" applyFont="1" applyBorder="1" applyAlignment="1">
      <alignment horizontal="left"/>
    </xf>
    <xf numFmtId="0" fontId="0" fillId="0" borderId="3" xfId="0" applyBorder="1" applyAlignment="1">
      <alignment horizontal="left" vertical="top" wrapText="1"/>
    </xf>
    <xf numFmtId="4" fontId="1" fillId="0" borderId="2" xfId="0" applyNumberFormat="1" applyFont="1" applyBorder="1" applyAlignment="1">
      <alignment vertical="top" wrapText="1"/>
    </xf>
    <xf numFmtId="4" fontId="1" fillId="0" borderId="3" xfId="0" applyNumberFormat="1" applyFont="1" applyBorder="1" applyAlignment="1">
      <alignment vertical="top" wrapText="1"/>
    </xf>
    <xf numFmtId="49" fontId="1" fillId="0" borderId="2" xfId="0" applyNumberFormat="1" applyFont="1" applyFill="1" applyBorder="1" applyAlignment="1">
      <alignment horizontal="center" vertical="top" wrapText="1"/>
    </xf>
    <xf numFmtId="49" fontId="1" fillId="0" borderId="4" xfId="0" applyNumberFormat="1" applyFont="1" applyFill="1" applyBorder="1" applyAlignment="1">
      <alignment horizontal="center" vertical="top" wrapText="1"/>
    </xf>
    <xf numFmtId="49" fontId="1" fillId="0" borderId="3" xfId="0" applyNumberFormat="1" applyFont="1" applyFill="1" applyBorder="1" applyAlignment="1">
      <alignment horizontal="center" vertical="top" wrapText="1"/>
    </xf>
    <xf numFmtId="4" fontId="3" fillId="0" borderId="2" xfId="0" applyNumberFormat="1" applyFont="1" applyFill="1" applyBorder="1" applyAlignment="1">
      <alignment horizontal="center" vertical="top" wrapText="1"/>
    </xf>
    <xf numFmtId="4" fontId="3" fillId="0" borderId="4" xfId="0" applyNumberFormat="1" applyFont="1" applyFill="1" applyBorder="1" applyAlignment="1">
      <alignment horizontal="center" vertical="top" wrapText="1"/>
    </xf>
    <xf numFmtId="4" fontId="3" fillId="0" borderId="3" xfId="0" applyNumberFormat="1" applyFont="1" applyFill="1" applyBorder="1" applyAlignment="1">
      <alignment horizontal="center" vertical="top"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14" fontId="1" fillId="0" borderId="2" xfId="0" applyNumberFormat="1" applyFont="1" applyBorder="1" applyAlignment="1">
      <alignment horizontal="center" vertical="top" wrapText="1"/>
    </xf>
    <xf numFmtId="14" fontId="1" fillId="0" borderId="4" xfId="0" applyNumberFormat="1" applyFont="1" applyBorder="1" applyAlignment="1">
      <alignment horizontal="center" vertical="top" wrapText="1"/>
    </xf>
    <xf numFmtId="14" fontId="1" fillId="0" borderId="3" xfId="0" applyNumberFormat="1" applyFont="1" applyBorder="1" applyAlignment="1">
      <alignment horizontal="center" vertical="top" wrapText="1"/>
    </xf>
    <xf numFmtId="0" fontId="1" fillId="0" borderId="2" xfId="0" applyFont="1" applyBorder="1" applyAlignment="1">
      <alignment vertical="top" wrapText="1"/>
    </xf>
    <xf numFmtId="0" fontId="1" fillId="0" borderId="3" xfId="0" applyFont="1" applyBorder="1" applyAlignment="1">
      <alignment vertical="top" wrapText="1"/>
    </xf>
    <xf numFmtId="4" fontId="1" fillId="0" borderId="2" xfId="0" applyNumberFormat="1" applyFont="1" applyBorder="1" applyAlignment="1">
      <alignment horizontal="left" vertical="top"/>
    </xf>
    <xf numFmtId="4" fontId="1" fillId="0" borderId="3" xfId="0" applyNumberFormat="1" applyFont="1" applyBorder="1" applyAlignment="1">
      <alignment horizontal="left" vertical="top"/>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consultantplus://offline/ref=3D0D1FA37BFC4FD4827B32A30E9945BF67DC73B15484D8628C3ABC299E17C3F496000D574D34C6CC6399B441G5dBH"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223"/>
  <sheetViews>
    <sheetView tabSelected="1" zoomScaleNormal="100" workbookViewId="0">
      <selection activeCell="E219" sqref="A219:XFD222"/>
    </sheetView>
  </sheetViews>
  <sheetFormatPr defaultRowHeight="15" x14ac:dyDescent="0.25"/>
  <cols>
    <col min="1" max="1" width="10.140625" style="25" customWidth="1"/>
    <col min="2" max="2" width="47.28515625" style="1" customWidth="1"/>
    <col min="3" max="3" width="10.42578125" style="1" customWidth="1"/>
    <col min="4" max="4" width="10.28515625" style="25" customWidth="1"/>
    <col min="5" max="5" width="24.7109375" style="1" customWidth="1"/>
    <col min="6" max="6" width="14.42578125" style="1" customWidth="1"/>
    <col min="7" max="7" width="11.42578125" style="1" customWidth="1"/>
    <col min="8" max="8" width="23.140625" style="1" customWidth="1"/>
    <col min="9" max="9" width="13.5703125" style="1" customWidth="1"/>
    <col min="10" max="10" width="10.7109375" style="1" customWidth="1"/>
    <col min="11" max="11" width="36" style="1" customWidth="1"/>
    <col min="12" max="12" width="8.140625" style="1" customWidth="1"/>
    <col min="13" max="13" width="11" style="1" customWidth="1"/>
    <col min="14" max="14" width="16.85546875" style="1" customWidth="1"/>
    <col min="15" max="15" width="17.85546875" style="1" customWidth="1"/>
    <col min="16" max="16" width="18.42578125" style="1" customWidth="1"/>
    <col min="17" max="17" width="18.7109375" style="1" customWidth="1"/>
    <col min="18" max="18" width="17.42578125" style="1" customWidth="1"/>
    <col min="19" max="19" width="16.7109375" style="1" customWidth="1"/>
    <col min="20" max="16384" width="9.140625" style="1"/>
  </cols>
  <sheetData>
    <row r="1" spans="1:19" x14ac:dyDescent="0.25">
      <c r="A1" s="159"/>
      <c r="B1" s="147"/>
    </row>
    <row r="2" spans="1:19" ht="18.75" x14ac:dyDescent="0.3">
      <c r="C2" s="331" t="s">
        <v>490</v>
      </c>
      <c r="D2" s="331"/>
      <c r="E2" s="331"/>
      <c r="F2" s="331"/>
      <c r="G2" s="331"/>
      <c r="H2" s="331"/>
      <c r="I2" s="331"/>
      <c r="J2" s="331"/>
      <c r="K2" s="331"/>
      <c r="L2" s="331"/>
      <c r="M2" s="331"/>
      <c r="N2" s="331"/>
      <c r="O2" s="331"/>
      <c r="P2" s="331"/>
    </row>
    <row r="3" spans="1:19" x14ac:dyDescent="0.25">
      <c r="A3" s="296" t="s">
        <v>491</v>
      </c>
      <c r="B3" s="296"/>
      <c r="I3" s="23"/>
    </row>
    <row r="4" spans="1:19" x14ac:dyDescent="0.25">
      <c r="A4" s="336" t="s">
        <v>554</v>
      </c>
      <c r="B4" s="336"/>
      <c r="C4" s="1" t="s">
        <v>406</v>
      </c>
      <c r="S4" s="38" t="s">
        <v>17</v>
      </c>
    </row>
    <row r="5" spans="1:19" x14ac:dyDescent="0.25">
      <c r="A5" s="332" t="s">
        <v>0</v>
      </c>
      <c r="B5" s="321" t="s">
        <v>1</v>
      </c>
      <c r="C5" s="324" t="s">
        <v>2</v>
      </c>
      <c r="D5" s="324"/>
      <c r="E5" s="324" t="s">
        <v>5</v>
      </c>
      <c r="F5" s="324"/>
      <c r="G5" s="324"/>
      <c r="H5" s="324" t="s">
        <v>9</v>
      </c>
      <c r="I5" s="325"/>
      <c r="J5" s="325"/>
      <c r="K5" s="324" t="s">
        <v>10</v>
      </c>
      <c r="L5" s="325"/>
      <c r="M5" s="325"/>
      <c r="N5" s="323" t="s">
        <v>16</v>
      </c>
      <c r="O5" s="323"/>
      <c r="P5" s="323"/>
      <c r="Q5" s="323"/>
      <c r="R5" s="323"/>
      <c r="S5" s="323"/>
    </row>
    <row r="6" spans="1:19" ht="45" x14ac:dyDescent="0.25">
      <c r="A6" s="333"/>
      <c r="B6" s="321"/>
      <c r="C6" s="335" t="s">
        <v>3</v>
      </c>
      <c r="D6" s="335" t="s">
        <v>4</v>
      </c>
      <c r="E6" s="321" t="s">
        <v>6</v>
      </c>
      <c r="F6" s="321" t="s">
        <v>7</v>
      </c>
      <c r="G6" s="321" t="s">
        <v>8</v>
      </c>
      <c r="H6" s="321" t="s">
        <v>6</v>
      </c>
      <c r="I6" s="321" t="s">
        <v>7</v>
      </c>
      <c r="J6" s="321" t="s">
        <v>8</v>
      </c>
      <c r="K6" s="321" t="s">
        <v>6</v>
      </c>
      <c r="L6" s="321" t="s">
        <v>7</v>
      </c>
      <c r="M6" s="321" t="s">
        <v>8</v>
      </c>
      <c r="N6" s="321" t="s">
        <v>13</v>
      </c>
      <c r="O6" s="321"/>
      <c r="P6" s="2" t="s">
        <v>14</v>
      </c>
      <c r="Q6" s="321" t="s">
        <v>15</v>
      </c>
      <c r="R6" s="322"/>
      <c r="S6" s="322"/>
    </row>
    <row r="7" spans="1:19" x14ac:dyDescent="0.25">
      <c r="A7" s="334"/>
      <c r="B7" s="321"/>
      <c r="C7" s="335"/>
      <c r="D7" s="335"/>
      <c r="E7" s="321"/>
      <c r="F7" s="321"/>
      <c r="G7" s="321"/>
      <c r="H7" s="321"/>
      <c r="I7" s="321"/>
      <c r="J7" s="321"/>
      <c r="K7" s="321"/>
      <c r="L7" s="321"/>
      <c r="M7" s="321"/>
      <c r="N7" s="5" t="s">
        <v>11</v>
      </c>
      <c r="O7" s="5" t="s">
        <v>12</v>
      </c>
      <c r="P7" s="5" t="s">
        <v>11</v>
      </c>
      <c r="Q7" s="5" t="s">
        <v>11</v>
      </c>
      <c r="R7" s="5" t="s">
        <v>11</v>
      </c>
      <c r="S7" s="5" t="s">
        <v>11</v>
      </c>
    </row>
    <row r="8" spans="1:19" x14ac:dyDescent="0.25">
      <c r="A8" s="77">
        <v>1</v>
      </c>
      <c r="B8" s="3">
        <v>2</v>
      </c>
      <c r="C8" s="3">
        <v>3</v>
      </c>
      <c r="D8" s="15">
        <v>4</v>
      </c>
      <c r="E8" s="3">
        <v>5</v>
      </c>
      <c r="F8" s="3">
        <v>6</v>
      </c>
      <c r="G8" s="3">
        <v>7</v>
      </c>
      <c r="H8" s="3">
        <v>8</v>
      </c>
      <c r="I8" s="3">
        <v>9</v>
      </c>
      <c r="J8" s="3">
        <v>10</v>
      </c>
      <c r="K8" s="3">
        <v>11</v>
      </c>
      <c r="L8" s="3">
        <v>12</v>
      </c>
      <c r="M8" s="3">
        <v>13</v>
      </c>
      <c r="N8" s="3">
        <v>14</v>
      </c>
      <c r="O8" s="3">
        <v>15</v>
      </c>
      <c r="P8" s="3">
        <v>16</v>
      </c>
      <c r="Q8" s="3">
        <v>17</v>
      </c>
      <c r="R8" s="3">
        <v>18</v>
      </c>
      <c r="S8" s="3">
        <v>19</v>
      </c>
    </row>
    <row r="9" spans="1:19" s="23" customFormat="1" ht="14.25" x14ac:dyDescent="0.2">
      <c r="A9" s="37"/>
      <c r="B9" s="37" t="s">
        <v>18</v>
      </c>
      <c r="C9" s="37">
        <v>901</v>
      </c>
      <c r="D9" s="37"/>
      <c r="E9" s="37"/>
      <c r="F9" s="37"/>
      <c r="G9" s="37"/>
      <c r="H9" s="37"/>
      <c r="I9" s="37"/>
      <c r="J9" s="37"/>
      <c r="K9" s="37"/>
      <c r="L9" s="37"/>
      <c r="M9" s="37"/>
      <c r="N9" s="48">
        <f>N10+N25+N37+N33</f>
        <v>100486960.21000001</v>
      </c>
      <c r="O9" s="48">
        <f>O10+O25+O37+O33</f>
        <v>99052335.560000002</v>
      </c>
      <c r="P9" s="48">
        <f>P10+P25+P37+P33</f>
        <v>74552310.799999997</v>
      </c>
      <c r="Q9" s="48">
        <f>Q10+Q25+Q37+Q33</f>
        <v>67449041.370000005</v>
      </c>
      <c r="R9" s="48">
        <f>R10+R25+R37+R33</f>
        <v>63521445.210000001</v>
      </c>
      <c r="S9" s="48">
        <f>S10+S25+S37+S33</f>
        <v>61671538</v>
      </c>
    </row>
    <row r="10" spans="1:19" s="114" customFormat="1" ht="57" x14ac:dyDescent="0.2">
      <c r="A10" s="111">
        <v>2500</v>
      </c>
      <c r="B10" s="115" t="s">
        <v>542</v>
      </c>
      <c r="C10" s="111"/>
      <c r="D10" s="111"/>
      <c r="E10" s="111"/>
      <c r="F10" s="111"/>
      <c r="G10" s="111"/>
      <c r="H10" s="112"/>
      <c r="I10" s="112"/>
      <c r="J10" s="112"/>
      <c r="K10" s="112"/>
      <c r="L10" s="112"/>
      <c r="M10" s="112"/>
      <c r="N10" s="113">
        <f>N11+N14+N17+N19+N22</f>
        <v>30651010.43</v>
      </c>
      <c r="O10" s="113">
        <f t="shared" ref="O10:S10" si="0">O11+O14+O17+O19+O22</f>
        <v>29838118.599999998</v>
      </c>
      <c r="P10" s="113">
        <f t="shared" si="0"/>
        <v>13478746.800000001</v>
      </c>
      <c r="Q10" s="113">
        <f t="shared" si="0"/>
        <v>6736542.3700000001</v>
      </c>
      <c r="R10" s="113">
        <f t="shared" si="0"/>
        <v>6758954.21</v>
      </c>
      <c r="S10" s="113">
        <f t="shared" si="0"/>
        <v>4998247</v>
      </c>
    </row>
    <row r="11" spans="1:19" ht="45" x14ac:dyDescent="0.25">
      <c r="A11" s="278">
        <v>2508</v>
      </c>
      <c r="B11" s="280" t="s">
        <v>45</v>
      </c>
      <c r="C11" s="278">
        <v>901</v>
      </c>
      <c r="D11" s="282" t="s">
        <v>47</v>
      </c>
      <c r="E11" s="280" t="s">
        <v>20</v>
      </c>
      <c r="F11" s="280" t="s">
        <v>358</v>
      </c>
      <c r="G11" s="280" t="s">
        <v>21</v>
      </c>
      <c r="H11" s="10"/>
      <c r="I11" s="10"/>
      <c r="J11" s="10"/>
      <c r="K11" s="10" t="s">
        <v>29</v>
      </c>
      <c r="L11" s="10" t="s">
        <v>46</v>
      </c>
      <c r="M11" s="10" t="s">
        <v>30</v>
      </c>
      <c r="N11" s="276">
        <f>6749164.8+2594570.22</f>
        <v>9343735.0199999996</v>
      </c>
      <c r="O11" s="276">
        <f>2594570.22+6749164.8</f>
        <v>9343735.0199999996</v>
      </c>
      <c r="P11" s="276">
        <f>2108595+6749164.8</f>
        <v>8857759.8000000007</v>
      </c>
      <c r="Q11" s="305">
        <v>2613295.37</v>
      </c>
      <c r="R11" s="276">
        <v>2635707.21</v>
      </c>
      <c r="S11" s="276">
        <v>875000</v>
      </c>
    </row>
    <row r="12" spans="1:19" ht="180" x14ac:dyDescent="0.25">
      <c r="A12" s="289"/>
      <c r="B12" s="297"/>
      <c r="C12" s="279"/>
      <c r="D12" s="283"/>
      <c r="E12" s="281"/>
      <c r="F12" s="281"/>
      <c r="G12" s="281"/>
      <c r="H12" s="10"/>
      <c r="I12" s="10"/>
      <c r="J12" s="10"/>
      <c r="K12" s="223" t="s">
        <v>439</v>
      </c>
      <c r="L12" s="73"/>
      <c r="M12" s="73" t="s">
        <v>440</v>
      </c>
      <c r="N12" s="284"/>
      <c r="O12" s="284"/>
      <c r="P12" s="284"/>
      <c r="Q12" s="306"/>
      <c r="R12" s="284"/>
      <c r="S12" s="284"/>
    </row>
    <row r="13" spans="1:19" ht="120" x14ac:dyDescent="0.25">
      <c r="A13" s="279"/>
      <c r="B13" s="281"/>
      <c r="C13" s="212"/>
      <c r="D13" s="213"/>
      <c r="E13" s="215"/>
      <c r="F13" s="215"/>
      <c r="G13" s="215"/>
      <c r="H13" s="10"/>
      <c r="I13" s="10"/>
      <c r="J13" s="10"/>
      <c r="K13" s="73" t="s">
        <v>500</v>
      </c>
      <c r="L13" s="73"/>
      <c r="M13" s="229" t="s">
        <v>531</v>
      </c>
      <c r="N13" s="277"/>
      <c r="O13" s="277"/>
      <c r="P13" s="277"/>
      <c r="Q13" s="307"/>
      <c r="R13" s="277"/>
      <c r="S13" s="277"/>
    </row>
    <row r="14" spans="1:19" ht="45" x14ac:dyDescent="0.25">
      <c r="A14" s="278">
        <v>2537</v>
      </c>
      <c r="B14" s="280" t="s">
        <v>48</v>
      </c>
      <c r="C14" s="278">
        <v>901</v>
      </c>
      <c r="D14" s="282" t="s">
        <v>34</v>
      </c>
      <c r="E14" s="280" t="s">
        <v>20</v>
      </c>
      <c r="F14" s="278" t="s">
        <v>49</v>
      </c>
      <c r="G14" s="278" t="s">
        <v>21</v>
      </c>
      <c r="H14" s="10"/>
      <c r="I14" s="10"/>
      <c r="J14" s="10"/>
      <c r="K14" s="10" t="s">
        <v>29</v>
      </c>
      <c r="L14" s="10" t="s">
        <v>46</v>
      </c>
      <c r="M14" s="10" t="s">
        <v>30</v>
      </c>
      <c r="N14" s="291">
        <f>6738384+3683470</f>
        <v>10421854</v>
      </c>
      <c r="O14" s="291">
        <f>3683470+5925492.17</f>
        <v>9608962.1699999999</v>
      </c>
      <c r="P14" s="53">
        <v>3755247</v>
      </c>
      <c r="Q14" s="53">
        <v>3723747</v>
      </c>
      <c r="R14" s="291">
        <v>3723747</v>
      </c>
      <c r="S14" s="291">
        <v>3723747</v>
      </c>
    </row>
    <row r="15" spans="1:19" ht="165" x14ac:dyDescent="0.25">
      <c r="A15" s="289"/>
      <c r="B15" s="297"/>
      <c r="C15" s="289"/>
      <c r="D15" s="290"/>
      <c r="E15" s="281"/>
      <c r="F15" s="279"/>
      <c r="G15" s="279"/>
      <c r="H15" s="10"/>
      <c r="I15" s="10"/>
      <c r="J15" s="10"/>
      <c r="K15" s="10" t="s">
        <v>50</v>
      </c>
      <c r="L15" s="10"/>
      <c r="M15" s="10" t="s">
        <v>51</v>
      </c>
      <c r="N15" s="293"/>
      <c r="O15" s="293"/>
      <c r="P15" s="129"/>
      <c r="Q15" s="129"/>
      <c r="R15" s="293"/>
      <c r="S15" s="293"/>
    </row>
    <row r="16" spans="1:19" ht="150" x14ac:dyDescent="0.25">
      <c r="A16" s="279"/>
      <c r="B16" s="281"/>
      <c r="C16" s="279"/>
      <c r="D16" s="283"/>
      <c r="E16" s="168"/>
      <c r="F16" s="169"/>
      <c r="G16" s="169"/>
      <c r="H16" s="10"/>
      <c r="I16" s="10"/>
      <c r="J16" s="10"/>
      <c r="K16" s="220" t="s">
        <v>469</v>
      </c>
      <c r="L16" s="10"/>
      <c r="M16" s="74" t="s">
        <v>470</v>
      </c>
      <c r="N16" s="170"/>
      <c r="O16" s="170"/>
      <c r="P16" s="170"/>
      <c r="Q16" s="170"/>
      <c r="R16" s="170"/>
      <c r="S16" s="167"/>
    </row>
    <row r="17" spans="1:19" ht="90" x14ac:dyDescent="0.25">
      <c r="A17" s="326">
        <v>2553</v>
      </c>
      <c r="B17" s="280" t="s">
        <v>546</v>
      </c>
      <c r="C17" s="278">
        <v>901</v>
      </c>
      <c r="D17" s="282" t="s">
        <v>545</v>
      </c>
      <c r="E17" s="10" t="s">
        <v>20</v>
      </c>
      <c r="F17" s="10" t="s">
        <v>54</v>
      </c>
      <c r="G17" s="10" t="s">
        <v>21</v>
      </c>
      <c r="H17" s="10"/>
      <c r="I17" s="10"/>
      <c r="J17" s="10"/>
      <c r="K17" s="10" t="s">
        <v>29</v>
      </c>
      <c r="L17" s="10"/>
      <c r="M17" s="74" t="s">
        <v>30</v>
      </c>
      <c r="N17" s="329">
        <f>10065042</f>
        <v>10065042</v>
      </c>
      <c r="O17" s="329">
        <f>10065042</f>
        <v>10065042</v>
      </c>
      <c r="P17" s="329">
        <v>765740</v>
      </c>
      <c r="Q17" s="329">
        <v>299500</v>
      </c>
      <c r="R17" s="329">
        <v>299500</v>
      </c>
      <c r="S17" s="291">
        <v>299500</v>
      </c>
    </row>
    <row r="18" spans="1:19" ht="135" x14ac:dyDescent="0.25">
      <c r="A18" s="328"/>
      <c r="B18" s="281"/>
      <c r="C18" s="279"/>
      <c r="D18" s="283"/>
      <c r="E18" s="10" t="s">
        <v>52</v>
      </c>
      <c r="F18" s="10" t="s">
        <v>348</v>
      </c>
      <c r="G18" s="10" t="s">
        <v>28</v>
      </c>
      <c r="H18" s="10"/>
      <c r="I18" s="10"/>
      <c r="J18" s="10"/>
      <c r="K18" s="220" t="s">
        <v>441</v>
      </c>
      <c r="L18" s="10"/>
      <c r="M18" s="10" t="s">
        <v>442</v>
      </c>
      <c r="N18" s="330"/>
      <c r="O18" s="330"/>
      <c r="P18" s="330"/>
      <c r="Q18" s="330"/>
      <c r="R18" s="330"/>
      <c r="S18" s="293"/>
    </row>
    <row r="19" spans="1:19" ht="150" x14ac:dyDescent="0.25">
      <c r="A19" s="326">
        <v>2554</v>
      </c>
      <c r="B19" s="278" t="s">
        <v>544</v>
      </c>
      <c r="C19" s="278">
        <v>901</v>
      </c>
      <c r="D19" s="282" t="s">
        <v>34</v>
      </c>
      <c r="E19" s="10" t="s">
        <v>20</v>
      </c>
      <c r="F19" s="10" t="s">
        <v>54</v>
      </c>
      <c r="G19" s="10" t="s">
        <v>21</v>
      </c>
      <c r="H19" s="10"/>
      <c r="I19" s="10"/>
      <c r="J19" s="10"/>
      <c r="K19" s="220" t="s">
        <v>404</v>
      </c>
      <c r="L19" s="10"/>
      <c r="M19" s="74" t="s">
        <v>405</v>
      </c>
      <c r="N19" s="276">
        <v>820379.41</v>
      </c>
      <c r="O19" s="276">
        <v>820379.41</v>
      </c>
      <c r="P19" s="276"/>
      <c r="Q19" s="276"/>
      <c r="R19" s="276"/>
      <c r="S19" s="276"/>
    </row>
    <row r="20" spans="1:19" ht="165" x14ac:dyDescent="0.25">
      <c r="A20" s="327"/>
      <c r="B20" s="289"/>
      <c r="C20" s="289"/>
      <c r="D20" s="290"/>
      <c r="E20" s="10"/>
      <c r="F20" s="10"/>
      <c r="G20" s="10"/>
      <c r="H20" s="10"/>
      <c r="I20" s="10"/>
      <c r="J20" s="10"/>
      <c r="K20" s="10" t="s">
        <v>56</v>
      </c>
      <c r="L20" s="10"/>
      <c r="M20" s="74" t="s">
        <v>57</v>
      </c>
      <c r="N20" s="284"/>
      <c r="O20" s="284"/>
      <c r="P20" s="284"/>
      <c r="Q20" s="284"/>
      <c r="R20" s="284"/>
      <c r="S20" s="284"/>
    </row>
    <row r="21" spans="1:19" ht="150" x14ac:dyDescent="0.25">
      <c r="A21" s="328"/>
      <c r="B21" s="279"/>
      <c r="C21" s="279"/>
      <c r="D21" s="283"/>
      <c r="E21" s="10"/>
      <c r="F21" s="10"/>
      <c r="G21" s="10"/>
      <c r="H21" s="10"/>
      <c r="I21" s="10"/>
      <c r="J21" s="10"/>
      <c r="K21" s="10" t="s">
        <v>422</v>
      </c>
      <c r="L21" s="10"/>
      <c r="M21" s="74" t="s">
        <v>423</v>
      </c>
      <c r="N21" s="277"/>
      <c r="O21" s="277"/>
      <c r="P21" s="277"/>
      <c r="Q21" s="277"/>
      <c r="R21" s="277"/>
      <c r="S21" s="277"/>
    </row>
    <row r="22" spans="1:19" ht="45" x14ac:dyDescent="0.25">
      <c r="A22" s="326">
        <v>2557</v>
      </c>
      <c r="B22" s="280" t="s">
        <v>444</v>
      </c>
      <c r="C22" s="278">
        <v>901</v>
      </c>
      <c r="D22" s="282" t="s">
        <v>34</v>
      </c>
      <c r="E22" s="280" t="s">
        <v>20</v>
      </c>
      <c r="F22" s="280" t="s">
        <v>445</v>
      </c>
      <c r="G22" s="280" t="s">
        <v>21</v>
      </c>
      <c r="H22" s="10"/>
      <c r="I22" s="10"/>
      <c r="J22" s="10"/>
      <c r="K22" s="10" t="s">
        <v>29</v>
      </c>
      <c r="L22" s="10"/>
      <c r="M22" s="74" t="s">
        <v>30</v>
      </c>
      <c r="N22" s="276"/>
      <c r="O22" s="276"/>
      <c r="P22" s="276">
        <v>100000</v>
      </c>
      <c r="Q22" s="276">
        <v>100000</v>
      </c>
      <c r="R22" s="276">
        <v>100000</v>
      </c>
      <c r="S22" s="276">
        <v>100000</v>
      </c>
    </row>
    <row r="23" spans="1:19" ht="120" x14ac:dyDescent="0.25">
      <c r="A23" s="327"/>
      <c r="B23" s="297"/>
      <c r="C23" s="289"/>
      <c r="D23" s="290"/>
      <c r="E23" s="297"/>
      <c r="F23" s="297"/>
      <c r="G23" s="297"/>
      <c r="H23" s="10"/>
      <c r="I23" s="10"/>
      <c r="J23" s="10"/>
      <c r="K23" s="10" t="s">
        <v>523</v>
      </c>
      <c r="L23" s="10"/>
      <c r="M23" s="74" t="s">
        <v>524</v>
      </c>
      <c r="N23" s="284"/>
      <c r="O23" s="284"/>
      <c r="P23" s="284"/>
      <c r="Q23" s="284"/>
      <c r="R23" s="284"/>
      <c r="S23" s="284"/>
    </row>
    <row r="24" spans="1:19" ht="150" x14ac:dyDescent="0.25">
      <c r="A24" s="328"/>
      <c r="B24" s="281"/>
      <c r="C24" s="279"/>
      <c r="D24" s="283"/>
      <c r="E24" s="281"/>
      <c r="F24" s="281"/>
      <c r="G24" s="281"/>
      <c r="H24" s="10"/>
      <c r="I24" s="10"/>
      <c r="J24" s="10"/>
      <c r="K24" s="10" t="s">
        <v>31</v>
      </c>
      <c r="L24" s="10"/>
      <c r="M24" s="10" t="s">
        <v>32</v>
      </c>
      <c r="N24" s="277"/>
      <c r="O24" s="277"/>
      <c r="P24" s="277"/>
      <c r="Q24" s="277"/>
      <c r="R24" s="277"/>
      <c r="S24" s="277"/>
    </row>
    <row r="25" spans="1:19" s="23" customFormat="1" ht="114" x14ac:dyDescent="0.2">
      <c r="A25" s="84">
        <v>2600</v>
      </c>
      <c r="B25" s="261" t="s">
        <v>543</v>
      </c>
      <c r="C25" s="8"/>
      <c r="D25" s="8"/>
      <c r="E25" s="8"/>
      <c r="F25" s="8"/>
      <c r="G25" s="8"/>
      <c r="H25" s="8"/>
      <c r="I25" s="8"/>
      <c r="J25" s="8"/>
      <c r="K25" s="8"/>
      <c r="L25" s="8"/>
      <c r="M25" s="8"/>
      <c r="N25" s="49">
        <f t="shared" ref="N25:S25" si="1">N26+N28+N30+N32</f>
        <v>64072759.780000001</v>
      </c>
      <c r="O25" s="49">
        <f t="shared" si="1"/>
        <v>63827026.960000001</v>
      </c>
      <c r="P25" s="49">
        <f t="shared" si="1"/>
        <v>52240564</v>
      </c>
      <c r="Q25" s="49">
        <f t="shared" si="1"/>
        <v>52227199</v>
      </c>
      <c r="R25" s="49">
        <f t="shared" si="1"/>
        <v>48775491</v>
      </c>
      <c r="S25" s="49">
        <f t="shared" si="1"/>
        <v>48775491</v>
      </c>
    </row>
    <row r="26" spans="1:19" ht="105" x14ac:dyDescent="0.25">
      <c r="A26" s="298" t="s">
        <v>532</v>
      </c>
      <c r="B26" s="280" t="s">
        <v>382</v>
      </c>
      <c r="C26" s="300">
        <v>901</v>
      </c>
      <c r="D26" s="278" t="s">
        <v>19</v>
      </c>
      <c r="E26" s="194" t="s">
        <v>20</v>
      </c>
      <c r="F26" s="194" t="s">
        <v>353</v>
      </c>
      <c r="G26" s="195" t="s">
        <v>21</v>
      </c>
      <c r="H26" s="194" t="s">
        <v>24</v>
      </c>
      <c r="I26" s="198" t="s">
        <v>55</v>
      </c>
      <c r="J26" s="195" t="s">
        <v>26</v>
      </c>
      <c r="K26" s="10" t="s">
        <v>29</v>
      </c>
      <c r="L26" s="4"/>
      <c r="M26" s="10" t="s">
        <v>30</v>
      </c>
      <c r="N26" s="294">
        <f>2179662.32+41182073.03+5406171.53-222777.5</f>
        <v>48545129.380000003</v>
      </c>
      <c r="O26" s="294">
        <f>2179662.32+40936340.21+5406171.53-222777.5</f>
        <v>48299396.560000002</v>
      </c>
      <c r="P26" s="105">
        <f>2468362+42295645+1759366-320101-100000</f>
        <v>46103272</v>
      </c>
      <c r="Q26" s="146">
        <f>2468362+43361545+260000</f>
        <v>46089907</v>
      </c>
      <c r="R26" s="294">
        <f>2468362+39909837+260000</f>
        <v>42638199</v>
      </c>
      <c r="S26" s="294">
        <f>2468362+39909837+260000</f>
        <v>42638199</v>
      </c>
    </row>
    <row r="27" spans="1:19" ht="285" x14ac:dyDescent="0.25">
      <c r="A27" s="299"/>
      <c r="B27" s="297"/>
      <c r="C27" s="301"/>
      <c r="D27" s="289"/>
      <c r="E27" s="9" t="s">
        <v>22</v>
      </c>
      <c r="F27" s="7" t="s">
        <v>55</v>
      </c>
      <c r="G27" s="9" t="s">
        <v>23</v>
      </c>
      <c r="H27" s="10" t="s">
        <v>27</v>
      </c>
      <c r="I27" s="11" t="s">
        <v>55</v>
      </c>
      <c r="J27" s="10" t="s">
        <v>28</v>
      </c>
      <c r="K27" s="10"/>
      <c r="L27" s="10"/>
      <c r="M27" s="18"/>
      <c r="N27" s="295"/>
      <c r="O27" s="295"/>
      <c r="P27" s="106"/>
      <c r="Q27" s="106"/>
      <c r="R27" s="295"/>
      <c r="S27" s="295"/>
    </row>
    <row r="28" spans="1:19" ht="30" x14ac:dyDescent="0.25">
      <c r="A28" s="278">
        <v>2608</v>
      </c>
      <c r="B28" s="280" t="s">
        <v>384</v>
      </c>
      <c r="C28" s="278">
        <v>901</v>
      </c>
      <c r="D28" s="282" t="s">
        <v>34</v>
      </c>
      <c r="E28" s="280" t="s">
        <v>20</v>
      </c>
      <c r="F28" s="280" t="s">
        <v>354</v>
      </c>
      <c r="G28" s="278" t="s">
        <v>21</v>
      </c>
      <c r="H28" s="13"/>
      <c r="I28" s="10"/>
      <c r="J28" s="10"/>
      <c r="K28" s="10" t="s">
        <v>29</v>
      </c>
      <c r="L28" s="7" t="s">
        <v>36</v>
      </c>
      <c r="M28" s="10" t="s">
        <v>38</v>
      </c>
      <c r="N28" s="291">
        <v>5718444</v>
      </c>
      <c r="O28" s="291">
        <v>5718444</v>
      </c>
      <c r="P28" s="99">
        <v>5817191</v>
      </c>
      <c r="Q28" s="99">
        <v>5817191</v>
      </c>
      <c r="R28" s="353">
        <v>5817191</v>
      </c>
      <c r="S28" s="353">
        <v>5817191</v>
      </c>
    </row>
    <row r="29" spans="1:19" ht="90" x14ac:dyDescent="0.25">
      <c r="A29" s="279"/>
      <c r="B29" s="281"/>
      <c r="C29" s="279"/>
      <c r="D29" s="283"/>
      <c r="E29" s="281"/>
      <c r="F29" s="281"/>
      <c r="G29" s="279"/>
      <c r="H29" s="10"/>
      <c r="I29" s="10"/>
      <c r="J29" s="10"/>
      <c r="K29" s="10" t="s">
        <v>37</v>
      </c>
      <c r="L29" s="7"/>
      <c r="M29" s="10" t="s">
        <v>380</v>
      </c>
      <c r="N29" s="292"/>
      <c r="O29" s="292"/>
      <c r="P29" s="100"/>
      <c r="Q29" s="100"/>
      <c r="R29" s="354"/>
      <c r="S29" s="354"/>
    </row>
    <row r="30" spans="1:19" ht="90" x14ac:dyDescent="0.25">
      <c r="A30" s="278">
        <v>2613</v>
      </c>
      <c r="B30" s="280" t="s">
        <v>39</v>
      </c>
      <c r="C30" s="278">
        <v>901</v>
      </c>
      <c r="D30" s="282" t="s">
        <v>40</v>
      </c>
      <c r="E30" s="10" t="s">
        <v>20</v>
      </c>
      <c r="F30" s="10" t="s">
        <v>355</v>
      </c>
      <c r="G30" s="10" t="s">
        <v>21</v>
      </c>
      <c r="H30" s="10" t="s">
        <v>42</v>
      </c>
      <c r="I30" s="10" t="s">
        <v>357</v>
      </c>
      <c r="J30" s="10" t="s">
        <v>43</v>
      </c>
      <c r="K30" s="10" t="s">
        <v>29</v>
      </c>
      <c r="L30" s="10"/>
      <c r="M30" s="10" t="s">
        <v>30</v>
      </c>
      <c r="N30" s="291">
        <f>9223208.9+363200</f>
        <v>9586408.9000000004</v>
      </c>
      <c r="O30" s="291">
        <f>9223208.9+363200</f>
        <v>9586408.9000000004</v>
      </c>
      <c r="P30" s="291">
        <v>0</v>
      </c>
      <c r="Q30" s="291">
        <v>0</v>
      </c>
      <c r="R30" s="291">
        <v>0</v>
      </c>
      <c r="S30" s="291">
        <v>0</v>
      </c>
    </row>
    <row r="31" spans="1:19" ht="180" x14ac:dyDescent="0.25">
      <c r="A31" s="279"/>
      <c r="B31" s="281"/>
      <c r="C31" s="279"/>
      <c r="D31" s="283"/>
      <c r="E31" s="10" t="s">
        <v>41</v>
      </c>
      <c r="F31" s="10" t="s">
        <v>356</v>
      </c>
      <c r="G31" s="10" t="s">
        <v>44</v>
      </c>
      <c r="H31" s="10"/>
      <c r="I31" s="10"/>
      <c r="J31" s="10"/>
      <c r="K31" s="10" t="s">
        <v>467</v>
      </c>
      <c r="L31" s="10"/>
      <c r="M31" s="18" t="s">
        <v>468</v>
      </c>
      <c r="N31" s="292"/>
      <c r="O31" s="292"/>
      <c r="P31" s="292"/>
      <c r="Q31" s="292"/>
      <c r="R31" s="292"/>
      <c r="S31" s="292"/>
    </row>
    <row r="32" spans="1:19" ht="90" x14ac:dyDescent="0.25">
      <c r="A32" s="82">
        <v>2626</v>
      </c>
      <c r="B32" s="71" t="s">
        <v>408</v>
      </c>
      <c r="C32" s="69">
        <v>901</v>
      </c>
      <c r="D32" s="72" t="s">
        <v>34</v>
      </c>
      <c r="E32" s="10" t="s">
        <v>20</v>
      </c>
      <c r="F32" s="10" t="s">
        <v>409</v>
      </c>
      <c r="G32" s="10" t="s">
        <v>21</v>
      </c>
      <c r="H32" s="10"/>
      <c r="I32" s="10"/>
      <c r="J32" s="10"/>
      <c r="K32" s="10" t="s">
        <v>29</v>
      </c>
      <c r="L32" s="10"/>
      <c r="M32" s="10" t="s">
        <v>30</v>
      </c>
      <c r="N32" s="70">
        <v>222777.5</v>
      </c>
      <c r="O32" s="70">
        <v>222777.5</v>
      </c>
      <c r="P32" s="70">
        <v>320101</v>
      </c>
      <c r="Q32" s="70">
        <v>320101</v>
      </c>
      <c r="R32" s="70">
        <v>320101</v>
      </c>
      <c r="S32" s="70">
        <v>320101</v>
      </c>
    </row>
    <row r="33" spans="1:19" s="23" customFormat="1" ht="171" x14ac:dyDescent="0.2">
      <c r="A33" s="246">
        <v>3100</v>
      </c>
      <c r="B33" s="247" t="s">
        <v>547</v>
      </c>
      <c r="C33" s="248"/>
      <c r="D33" s="249"/>
      <c r="E33" s="17"/>
      <c r="F33" s="17"/>
      <c r="G33" s="17"/>
      <c r="H33" s="17"/>
      <c r="I33" s="17"/>
      <c r="J33" s="17"/>
      <c r="K33" s="17"/>
      <c r="L33" s="17"/>
      <c r="M33" s="17"/>
      <c r="N33" s="252">
        <f>N34+N36</f>
        <v>46400</v>
      </c>
      <c r="O33" s="252">
        <f t="shared" ref="O33:S33" si="2">O34+O36</f>
        <v>0</v>
      </c>
      <c r="P33" s="252">
        <f t="shared" si="2"/>
        <v>603900</v>
      </c>
      <c r="Q33" s="252">
        <f t="shared" si="2"/>
        <v>516200</v>
      </c>
      <c r="R33" s="252">
        <f t="shared" si="2"/>
        <v>17900</v>
      </c>
      <c r="S33" s="252">
        <f t="shared" si="2"/>
        <v>0</v>
      </c>
    </row>
    <row r="34" spans="1:19" ht="150" x14ac:dyDescent="0.25">
      <c r="A34" s="278">
        <v>3103</v>
      </c>
      <c r="B34" s="280" t="s">
        <v>386</v>
      </c>
      <c r="C34" s="278">
        <v>901</v>
      </c>
      <c r="D34" s="282" t="s">
        <v>90</v>
      </c>
      <c r="E34" s="10" t="s">
        <v>89</v>
      </c>
      <c r="F34" s="10" t="s">
        <v>53</v>
      </c>
      <c r="G34" s="10" t="s">
        <v>91</v>
      </c>
      <c r="H34" s="10" t="s">
        <v>93</v>
      </c>
      <c r="I34" s="10" t="s">
        <v>55</v>
      </c>
      <c r="J34" s="10" t="s">
        <v>94</v>
      </c>
      <c r="K34" s="220" t="s">
        <v>420</v>
      </c>
      <c r="L34" s="10"/>
      <c r="M34" s="10" t="s">
        <v>421</v>
      </c>
      <c r="N34" s="276">
        <v>46400</v>
      </c>
      <c r="O34" s="276">
        <v>0</v>
      </c>
      <c r="P34" s="241">
        <v>43900</v>
      </c>
      <c r="Q34" s="241">
        <v>516200</v>
      </c>
      <c r="R34" s="276">
        <v>17900</v>
      </c>
      <c r="S34" s="276">
        <v>0</v>
      </c>
    </row>
    <row r="35" spans="1:19" ht="150" x14ac:dyDescent="0.25">
      <c r="A35" s="279"/>
      <c r="B35" s="281"/>
      <c r="C35" s="279"/>
      <c r="D35" s="283"/>
      <c r="E35" s="10" t="s">
        <v>69</v>
      </c>
      <c r="F35" s="10" t="s">
        <v>92</v>
      </c>
      <c r="G35" s="10" t="s">
        <v>71</v>
      </c>
      <c r="H35" s="10"/>
      <c r="I35" s="10"/>
      <c r="J35" s="10"/>
      <c r="K35" s="10"/>
      <c r="L35" s="10"/>
      <c r="M35" s="10"/>
      <c r="N35" s="277"/>
      <c r="O35" s="277"/>
      <c r="P35" s="242"/>
      <c r="Q35" s="242"/>
      <c r="R35" s="277"/>
      <c r="S35" s="277"/>
    </row>
    <row r="36" spans="1:19" ht="270" x14ac:dyDescent="0.25">
      <c r="A36" s="243">
        <v>3130</v>
      </c>
      <c r="B36" s="244" t="s">
        <v>548</v>
      </c>
      <c r="C36" s="243">
        <v>901</v>
      </c>
      <c r="D36" s="245" t="s">
        <v>34</v>
      </c>
      <c r="E36" s="10" t="s">
        <v>69</v>
      </c>
      <c r="F36" s="10" t="s">
        <v>92</v>
      </c>
      <c r="G36" s="10" t="s">
        <v>71</v>
      </c>
      <c r="H36" s="10" t="s">
        <v>505</v>
      </c>
      <c r="I36" s="10"/>
      <c r="J36" s="10" t="s">
        <v>506</v>
      </c>
      <c r="K36" s="220" t="s">
        <v>507</v>
      </c>
      <c r="L36" s="10"/>
      <c r="M36" s="73" t="s">
        <v>508</v>
      </c>
      <c r="N36" s="242"/>
      <c r="O36" s="242"/>
      <c r="P36" s="242">
        <v>560000</v>
      </c>
      <c r="Q36" s="242"/>
      <c r="R36" s="242"/>
      <c r="S36" s="242"/>
    </row>
    <row r="37" spans="1:19" s="23" customFormat="1" ht="156.75" x14ac:dyDescent="0.2">
      <c r="A37" s="16">
        <v>3200</v>
      </c>
      <c r="B37" s="17" t="s">
        <v>416</v>
      </c>
      <c r="C37" s="28"/>
      <c r="D37" s="85"/>
      <c r="E37" s="28"/>
      <c r="F37" s="28"/>
      <c r="G37" s="28"/>
      <c r="H37" s="28"/>
      <c r="I37" s="28"/>
      <c r="J37" s="28"/>
      <c r="K37" s="17"/>
      <c r="L37" s="17"/>
      <c r="M37" s="17"/>
      <c r="N37" s="40">
        <f t="shared" ref="N37:S37" si="3">SUM(N38:N44)+N45</f>
        <v>5716790</v>
      </c>
      <c r="O37" s="40">
        <f t="shared" si="3"/>
        <v>5387190</v>
      </c>
      <c r="P37" s="40">
        <f t="shared" si="3"/>
        <v>8229100</v>
      </c>
      <c r="Q37" s="40">
        <f t="shared" si="3"/>
        <v>7969100</v>
      </c>
      <c r="R37" s="40">
        <f t="shared" si="3"/>
        <v>7969100</v>
      </c>
      <c r="S37" s="40">
        <f t="shared" si="3"/>
        <v>7897800</v>
      </c>
    </row>
    <row r="38" spans="1:19" ht="135" x14ac:dyDescent="0.25">
      <c r="A38" s="158">
        <v>3293</v>
      </c>
      <c r="B38" s="157" t="s">
        <v>385</v>
      </c>
      <c r="C38" s="90">
        <v>901</v>
      </c>
      <c r="D38" s="92" t="s">
        <v>34</v>
      </c>
      <c r="E38" s="91" t="s">
        <v>62</v>
      </c>
      <c r="F38" s="91" t="s">
        <v>63</v>
      </c>
      <c r="G38" s="91" t="s">
        <v>64</v>
      </c>
      <c r="H38" s="91" t="s">
        <v>65</v>
      </c>
      <c r="I38" s="91" t="s">
        <v>55</v>
      </c>
      <c r="J38" s="91" t="s">
        <v>66</v>
      </c>
      <c r="K38" s="224" t="s">
        <v>413</v>
      </c>
      <c r="L38" s="10"/>
      <c r="M38" s="73" t="s">
        <v>419</v>
      </c>
      <c r="N38" s="39">
        <v>267890</v>
      </c>
      <c r="O38" s="39">
        <v>267890</v>
      </c>
      <c r="P38" s="39">
        <v>286500</v>
      </c>
      <c r="Q38" s="39">
        <v>286500</v>
      </c>
      <c r="R38" s="39">
        <v>286500</v>
      </c>
      <c r="S38" s="39">
        <v>286500</v>
      </c>
    </row>
    <row r="39" spans="1:19" ht="255" x14ac:dyDescent="0.25">
      <c r="A39" s="263" t="s">
        <v>549</v>
      </c>
      <c r="B39" s="76" t="s">
        <v>67</v>
      </c>
      <c r="C39" s="12">
        <v>901</v>
      </c>
      <c r="D39" s="21" t="s">
        <v>68</v>
      </c>
      <c r="E39" s="10" t="s">
        <v>69</v>
      </c>
      <c r="F39" s="10" t="s">
        <v>70</v>
      </c>
      <c r="G39" s="10" t="s">
        <v>71</v>
      </c>
      <c r="H39" s="10" t="s">
        <v>72</v>
      </c>
      <c r="I39" s="10" t="s">
        <v>55</v>
      </c>
      <c r="J39" s="10" t="s">
        <v>73</v>
      </c>
      <c r="K39" s="10" t="s">
        <v>96</v>
      </c>
      <c r="L39" s="10"/>
      <c r="M39" s="10" t="s">
        <v>74</v>
      </c>
      <c r="N39" s="39">
        <v>179700</v>
      </c>
      <c r="O39" s="39">
        <v>179700</v>
      </c>
      <c r="P39" s="39">
        <v>254000</v>
      </c>
      <c r="Q39" s="39">
        <v>254000</v>
      </c>
      <c r="R39" s="39">
        <v>254000</v>
      </c>
      <c r="S39" s="39">
        <v>254000</v>
      </c>
    </row>
    <row r="40" spans="1:19" ht="150" x14ac:dyDescent="0.25">
      <c r="A40" s="263" t="s">
        <v>549</v>
      </c>
      <c r="B40" s="187" t="s">
        <v>485</v>
      </c>
      <c r="C40" s="189">
        <v>901</v>
      </c>
      <c r="D40" s="188" t="s">
        <v>68</v>
      </c>
      <c r="E40" s="187" t="s">
        <v>69</v>
      </c>
      <c r="F40" s="187" t="s">
        <v>77</v>
      </c>
      <c r="G40" s="187" t="s">
        <v>71</v>
      </c>
      <c r="H40" s="10"/>
      <c r="I40" s="10"/>
      <c r="J40" s="10"/>
      <c r="K40" s="10"/>
      <c r="L40" s="10"/>
      <c r="M40" s="10"/>
      <c r="N40" s="186">
        <v>329600</v>
      </c>
      <c r="O40" s="186">
        <v>0</v>
      </c>
      <c r="P40" s="186">
        <v>2211900</v>
      </c>
      <c r="Q40" s="186">
        <v>1951900</v>
      </c>
      <c r="R40" s="186">
        <v>1951900</v>
      </c>
      <c r="S40" s="186">
        <v>1951900</v>
      </c>
    </row>
    <row r="41" spans="1:19" ht="225" x14ac:dyDescent="0.25">
      <c r="A41" s="263" t="s">
        <v>549</v>
      </c>
      <c r="B41" s="280" t="s">
        <v>75</v>
      </c>
      <c r="C41" s="319">
        <v>901</v>
      </c>
      <c r="D41" s="282" t="s">
        <v>68</v>
      </c>
      <c r="E41" s="351" t="s">
        <v>69</v>
      </c>
      <c r="F41" s="278" t="s">
        <v>77</v>
      </c>
      <c r="G41" s="278" t="s">
        <v>71</v>
      </c>
      <c r="H41" s="10" t="s">
        <v>78</v>
      </c>
      <c r="I41" s="10" t="s">
        <v>55</v>
      </c>
      <c r="J41" s="10" t="s">
        <v>79</v>
      </c>
      <c r="K41" s="10" t="s">
        <v>82</v>
      </c>
      <c r="L41" s="10"/>
      <c r="M41" s="10" t="s">
        <v>83</v>
      </c>
      <c r="N41" s="276">
        <v>2226100</v>
      </c>
      <c r="O41" s="276">
        <v>2226100</v>
      </c>
      <c r="P41" s="50">
        <v>2438800</v>
      </c>
      <c r="Q41" s="50">
        <v>2438800</v>
      </c>
      <c r="R41" s="276">
        <v>2438800</v>
      </c>
      <c r="S41" s="276">
        <v>2438800</v>
      </c>
    </row>
    <row r="42" spans="1:19" ht="105" x14ac:dyDescent="0.25">
      <c r="A42" s="240"/>
      <c r="B42" s="281"/>
      <c r="C42" s="320"/>
      <c r="D42" s="283"/>
      <c r="E42" s="352"/>
      <c r="F42" s="279"/>
      <c r="G42" s="279"/>
      <c r="H42" s="10" t="s">
        <v>80</v>
      </c>
      <c r="I42" s="10" t="s">
        <v>55</v>
      </c>
      <c r="J42" s="10" t="s">
        <v>81</v>
      </c>
      <c r="K42" s="10"/>
      <c r="L42" s="10"/>
      <c r="M42" s="10"/>
      <c r="N42" s="277"/>
      <c r="O42" s="277"/>
      <c r="P42" s="51"/>
      <c r="Q42" s="51"/>
      <c r="R42" s="277"/>
      <c r="S42" s="277"/>
    </row>
    <row r="43" spans="1:19" ht="210" x14ac:dyDescent="0.25">
      <c r="A43" s="289" t="s">
        <v>549</v>
      </c>
      <c r="B43" s="297" t="s">
        <v>84</v>
      </c>
      <c r="C43" s="278">
        <v>901</v>
      </c>
      <c r="D43" s="282" t="s">
        <v>68</v>
      </c>
      <c r="E43" s="10" t="s">
        <v>69</v>
      </c>
      <c r="F43" s="10" t="s">
        <v>76</v>
      </c>
      <c r="G43" s="10" t="s">
        <v>71</v>
      </c>
      <c r="H43" s="10" t="s">
        <v>85</v>
      </c>
      <c r="I43" s="10" t="s">
        <v>55</v>
      </c>
      <c r="J43" s="10" t="s">
        <v>86</v>
      </c>
      <c r="K43" s="220" t="s">
        <v>414</v>
      </c>
      <c r="L43" s="10"/>
      <c r="M43" s="73" t="s">
        <v>419</v>
      </c>
      <c r="N43" s="276">
        <v>764000</v>
      </c>
      <c r="O43" s="276">
        <v>764000</v>
      </c>
      <c r="P43" s="50">
        <v>907100</v>
      </c>
      <c r="Q43" s="50">
        <v>907100</v>
      </c>
      <c r="R43" s="276">
        <v>907100</v>
      </c>
      <c r="S43" s="276">
        <v>835800</v>
      </c>
    </row>
    <row r="44" spans="1:19" ht="90" x14ac:dyDescent="0.25">
      <c r="A44" s="279"/>
      <c r="B44" s="281"/>
      <c r="C44" s="279"/>
      <c r="D44" s="283"/>
      <c r="E44" s="10"/>
      <c r="F44" s="10"/>
      <c r="G44" s="10"/>
      <c r="H44" s="10" t="s">
        <v>87</v>
      </c>
      <c r="I44" s="10" t="s">
        <v>55</v>
      </c>
      <c r="J44" s="10" t="s">
        <v>88</v>
      </c>
      <c r="K44" s="10"/>
      <c r="L44" s="10"/>
      <c r="M44" s="73"/>
      <c r="N44" s="277"/>
      <c r="O44" s="277"/>
      <c r="P44" s="51"/>
      <c r="Q44" s="51"/>
      <c r="R44" s="277"/>
      <c r="S44" s="277"/>
    </row>
    <row r="45" spans="1:19" ht="255" x14ac:dyDescent="0.25">
      <c r="A45" s="263" t="s">
        <v>549</v>
      </c>
      <c r="B45" s="148" t="s">
        <v>446</v>
      </c>
      <c r="C45" s="149">
        <v>901</v>
      </c>
      <c r="D45" s="150" t="s">
        <v>360</v>
      </c>
      <c r="E45" s="10" t="s">
        <v>69</v>
      </c>
      <c r="F45" s="10" t="s">
        <v>76</v>
      </c>
      <c r="G45" s="10" t="s">
        <v>71</v>
      </c>
      <c r="H45" s="10" t="s">
        <v>447</v>
      </c>
      <c r="I45" s="10" t="s">
        <v>224</v>
      </c>
      <c r="J45" s="10" t="s">
        <v>448</v>
      </c>
      <c r="K45" s="220" t="s">
        <v>454</v>
      </c>
      <c r="L45" s="10"/>
      <c r="M45" s="73" t="s">
        <v>466</v>
      </c>
      <c r="N45" s="151">
        <v>1949500</v>
      </c>
      <c r="O45" s="151">
        <v>1949500</v>
      </c>
      <c r="P45" s="151">
        <v>2130800</v>
      </c>
      <c r="Q45" s="151">
        <v>2130800</v>
      </c>
      <c r="R45" s="151">
        <v>2130800</v>
      </c>
      <c r="S45" s="151">
        <v>2130800</v>
      </c>
    </row>
    <row r="46" spans="1:19" ht="28.5" x14ac:dyDescent="0.25">
      <c r="A46" s="33"/>
      <c r="B46" s="32" t="s">
        <v>97</v>
      </c>
      <c r="C46" s="33">
        <v>902</v>
      </c>
      <c r="D46" s="34"/>
      <c r="E46" s="32"/>
      <c r="F46" s="32"/>
      <c r="G46" s="32"/>
      <c r="H46" s="32"/>
      <c r="I46" s="32"/>
      <c r="J46" s="32"/>
      <c r="K46" s="32"/>
      <c r="L46" s="32"/>
      <c r="M46" s="32"/>
      <c r="N46" s="41">
        <f>N47+N59+N55</f>
        <v>71404004.819999993</v>
      </c>
      <c r="O46" s="41">
        <f t="shared" ref="O46:S46" si="4">O47+O59+O55</f>
        <v>71214674.129999995</v>
      </c>
      <c r="P46" s="41">
        <f t="shared" si="4"/>
        <v>92316854.25999999</v>
      </c>
      <c r="Q46" s="41">
        <f t="shared" si="4"/>
        <v>118209711</v>
      </c>
      <c r="R46" s="41">
        <f t="shared" si="4"/>
        <v>71550585</v>
      </c>
      <c r="S46" s="41">
        <f t="shared" si="4"/>
        <v>57382685</v>
      </c>
    </row>
    <row r="47" spans="1:19" s="23" customFormat="1" ht="57" x14ac:dyDescent="0.2">
      <c r="A47" s="111">
        <v>2500</v>
      </c>
      <c r="B47" s="115" t="s">
        <v>542</v>
      </c>
      <c r="C47" s="16"/>
      <c r="D47" s="26"/>
      <c r="E47" s="17"/>
      <c r="F47" s="17"/>
      <c r="G47" s="17"/>
      <c r="H47" s="17"/>
      <c r="I47" s="17"/>
      <c r="J47" s="17"/>
      <c r="K47" s="17"/>
      <c r="L47" s="17"/>
      <c r="M47" s="17"/>
      <c r="N47" s="40">
        <f>N48+N52+N53</f>
        <v>7927368.0299999993</v>
      </c>
      <c r="O47" s="40">
        <f t="shared" ref="O47:S47" si="5">O48+O52+O53</f>
        <v>7927368.0299999993</v>
      </c>
      <c r="P47" s="40">
        <f t="shared" si="5"/>
        <v>8197489</v>
      </c>
      <c r="Q47" s="40">
        <f t="shared" si="5"/>
        <v>7186595</v>
      </c>
      <c r="R47" s="40">
        <f t="shared" si="5"/>
        <v>6346469</v>
      </c>
      <c r="S47" s="40">
        <f t="shared" si="5"/>
        <v>6346469</v>
      </c>
    </row>
    <row r="48" spans="1:19" ht="270" x14ac:dyDescent="0.25">
      <c r="A48" s="278">
        <v>2504</v>
      </c>
      <c r="B48" s="280" t="s">
        <v>98</v>
      </c>
      <c r="C48" s="278">
        <v>902</v>
      </c>
      <c r="D48" s="282" t="s">
        <v>34</v>
      </c>
      <c r="E48" s="10" t="s">
        <v>20</v>
      </c>
      <c r="F48" s="10" t="s">
        <v>102</v>
      </c>
      <c r="G48" s="10" t="s">
        <v>99</v>
      </c>
      <c r="H48" s="10" t="s">
        <v>109</v>
      </c>
      <c r="I48" s="10" t="s">
        <v>55</v>
      </c>
      <c r="J48" s="10" t="s">
        <v>26</v>
      </c>
      <c r="K48" s="10" t="s">
        <v>424</v>
      </c>
      <c r="L48" s="10"/>
      <c r="M48" s="10" t="s">
        <v>114</v>
      </c>
      <c r="N48" s="291">
        <f>1631920.69+178775</f>
        <v>1810695.69</v>
      </c>
      <c r="O48" s="291">
        <f>1631920.69+178775</f>
        <v>1810695.69</v>
      </c>
      <c r="P48" s="53">
        <f>280000+727000</f>
        <v>1007000</v>
      </c>
      <c r="Q48" s="53">
        <f>455000</f>
        <v>455000</v>
      </c>
      <c r="R48" s="291">
        <v>455000</v>
      </c>
      <c r="S48" s="291">
        <v>455000</v>
      </c>
    </row>
    <row r="49" spans="1:19" ht="105" x14ac:dyDescent="0.25">
      <c r="A49" s="289"/>
      <c r="B49" s="297"/>
      <c r="C49" s="289"/>
      <c r="D49" s="290"/>
      <c r="E49" s="10" t="s">
        <v>100</v>
      </c>
      <c r="F49" s="10" t="s">
        <v>101</v>
      </c>
      <c r="G49" s="10" t="s">
        <v>103</v>
      </c>
      <c r="H49" s="10" t="s">
        <v>110</v>
      </c>
      <c r="I49" s="10" t="s">
        <v>55</v>
      </c>
      <c r="J49" s="10" t="s">
        <v>111</v>
      </c>
      <c r="K49" s="10" t="s">
        <v>115</v>
      </c>
      <c r="L49" s="10"/>
      <c r="M49" s="10" t="s">
        <v>116</v>
      </c>
      <c r="N49" s="293"/>
      <c r="O49" s="293"/>
      <c r="P49" s="54"/>
      <c r="Q49" s="54"/>
      <c r="R49" s="293"/>
      <c r="S49" s="293"/>
    </row>
    <row r="50" spans="1:19" ht="195" x14ac:dyDescent="0.25">
      <c r="A50" s="289"/>
      <c r="B50" s="297"/>
      <c r="C50" s="289"/>
      <c r="D50" s="290"/>
      <c r="E50" s="10" t="s">
        <v>104</v>
      </c>
      <c r="F50" s="10" t="s">
        <v>105</v>
      </c>
      <c r="G50" s="10" t="s">
        <v>106</v>
      </c>
      <c r="H50" s="10" t="s">
        <v>112</v>
      </c>
      <c r="I50" s="10" t="s">
        <v>55</v>
      </c>
      <c r="J50" s="10" t="s">
        <v>113</v>
      </c>
      <c r="K50" s="10" t="s">
        <v>117</v>
      </c>
      <c r="L50" s="10"/>
      <c r="M50" s="10" t="s">
        <v>118</v>
      </c>
      <c r="N50" s="293"/>
      <c r="O50" s="293"/>
      <c r="P50" s="54"/>
      <c r="Q50" s="54"/>
      <c r="R50" s="293"/>
      <c r="S50" s="293"/>
    </row>
    <row r="51" spans="1:19" ht="285" x14ac:dyDescent="0.25">
      <c r="A51" s="279"/>
      <c r="B51" s="281"/>
      <c r="C51" s="279"/>
      <c r="D51" s="283"/>
      <c r="E51" s="10" t="s">
        <v>107</v>
      </c>
      <c r="F51" s="10" t="s">
        <v>55</v>
      </c>
      <c r="G51" s="10" t="s">
        <v>108</v>
      </c>
      <c r="H51" s="10" t="s">
        <v>27</v>
      </c>
      <c r="I51" s="11" t="s">
        <v>55</v>
      </c>
      <c r="J51" s="10" t="s">
        <v>28</v>
      </c>
      <c r="K51" s="10" t="s">
        <v>29</v>
      </c>
      <c r="L51" s="10" t="s">
        <v>119</v>
      </c>
      <c r="M51" s="10" t="s">
        <v>30</v>
      </c>
      <c r="N51" s="292"/>
      <c r="O51" s="292"/>
      <c r="P51" s="55"/>
      <c r="Q51" s="55"/>
      <c r="R51" s="292"/>
      <c r="S51" s="292"/>
    </row>
    <row r="52" spans="1:19" ht="150" x14ac:dyDescent="0.25">
      <c r="A52" s="12">
        <v>2508</v>
      </c>
      <c r="B52" s="10" t="s">
        <v>45</v>
      </c>
      <c r="C52" s="12">
        <v>902</v>
      </c>
      <c r="D52" s="21" t="s">
        <v>120</v>
      </c>
      <c r="E52" s="10" t="s">
        <v>20</v>
      </c>
      <c r="F52" s="10" t="s">
        <v>121</v>
      </c>
      <c r="G52" s="10" t="s">
        <v>99</v>
      </c>
      <c r="H52" s="10"/>
      <c r="I52" s="10"/>
      <c r="J52" s="10"/>
      <c r="K52" s="10" t="s">
        <v>29</v>
      </c>
      <c r="L52" s="10" t="s">
        <v>122</v>
      </c>
      <c r="M52" s="10" t="s">
        <v>30</v>
      </c>
      <c r="N52" s="39">
        <v>5841672.3399999999</v>
      </c>
      <c r="O52" s="39">
        <v>5841672.3399999999</v>
      </c>
      <c r="P52" s="39">
        <v>6448889</v>
      </c>
      <c r="Q52" s="39">
        <v>6191995</v>
      </c>
      <c r="R52" s="39">
        <v>5351869</v>
      </c>
      <c r="S52" s="39">
        <v>5351869</v>
      </c>
    </row>
    <row r="53" spans="1:19" ht="90" x14ac:dyDescent="0.25">
      <c r="A53" s="278">
        <v>2544</v>
      </c>
      <c r="B53" s="280" t="s">
        <v>123</v>
      </c>
      <c r="C53" s="278">
        <v>902</v>
      </c>
      <c r="D53" s="282" t="s">
        <v>124</v>
      </c>
      <c r="E53" s="10" t="s">
        <v>20</v>
      </c>
      <c r="F53" s="10" t="s">
        <v>125</v>
      </c>
      <c r="G53" s="10" t="s">
        <v>99</v>
      </c>
      <c r="H53" s="10" t="s">
        <v>126</v>
      </c>
      <c r="I53" s="10" t="s">
        <v>127</v>
      </c>
      <c r="J53" s="10" t="s">
        <v>128</v>
      </c>
      <c r="K53" s="10" t="s">
        <v>29</v>
      </c>
      <c r="L53" s="10"/>
      <c r="M53" s="10" t="s">
        <v>38</v>
      </c>
      <c r="N53" s="276">
        <v>275000</v>
      </c>
      <c r="O53" s="276">
        <v>275000</v>
      </c>
      <c r="P53" s="276">
        <v>741600</v>
      </c>
      <c r="Q53" s="276">
        <v>539600</v>
      </c>
      <c r="R53" s="276">
        <v>539600</v>
      </c>
      <c r="S53" s="276">
        <v>539600</v>
      </c>
    </row>
    <row r="54" spans="1:19" ht="75" x14ac:dyDescent="0.25">
      <c r="A54" s="279"/>
      <c r="B54" s="281"/>
      <c r="C54" s="279"/>
      <c r="D54" s="283"/>
      <c r="E54" s="10"/>
      <c r="F54" s="10"/>
      <c r="G54" s="10"/>
      <c r="H54" s="10"/>
      <c r="I54" s="10"/>
      <c r="J54" s="10"/>
      <c r="K54" s="10" t="s">
        <v>129</v>
      </c>
      <c r="L54" s="10"/>
      <c r="M54" s="10" t="s">
        <v>130</v>
      </c>
      <c r="N54" s="277"/>
      <c r="O54" s="277"/>
      <c r="P54" s="277"/>
      <c r="Q54" s="277"/>
      <c r="R54" s="277"/>
      <c r="S54" s="277"/>
    </row>
    <row r="55" spans="1:19" s="23" customFormat="1" ht="114" x14ac:dyDescent="0.2">
      <c r="A55" s="84">
        <v>2600</v>
      </c>
      <c r="B55" s="261" t="s">
        <v>543</v>
      </c>
      <c r="C55" s="8"/>
      <c r="D55" s="8"/>
      <c r="E55" s="8"/>
      <c r="F55" s="8"/>
      <c r="G55" s="8"/>
      <c r="H55" s="8"/>
      <c r="I55" s="8"/>
      <c r="J55" s="8"/>
      <c r="K55" s="8"/>
      <c r="L55" s="8"/>
      <c r="M55" s="8"/>
      <c r="N55" s="49">
        <f>N56</f>
        <v>17663782.100000001</v>
      </c>
      <c r="O55" s="49">
        <f t="shared" ref="O55:S55" si="6">O56</f>
        <v>17663782.100000001</v>
      </c>
      <c r="P55" s="49">
        <f t="shared" si="6"/>
        <v>17017722</v>
      </c>
      <c r="Q55" s="49">
        <f t="shared" si="6"/>
        <v>15616516</v>
      </c>
      <c r="R55" s="49">
        <f t="shared" si="6"/>
        <v>15616516</v>
      </c>
      <c r="S55" s="49">
        <f t="shared" si="6"/>
        <v>15616516</v>
      </c>
    </row>
    <row r="56" spans="1:19" ht="45" x14ac:dyDescent="0.25">
      <c r="A56" s="298" t="s">
        <v>533</v>
      </c>
      <c r="B56" s="280" t="s">
        <v>382</v>
      </c>
      <c r="C56" s="300">
        <v>902</v>
      </c>
      <c r="D56" s="282" t="s">
        <v>34</v>
      </c>
      <c r="E56" s="280" t="s">
        <v>20</v>
      </c>
      <c r="F56" s="280" t="s">
        <v>353</v>
      </c>
      <c r="G56" s="278" t="s">
        <v>21</v>
      </c>
      <c r="H56" s="280" t="s">
        <v>24</v>
      </c>
      <c r="I56" s="303" t="s">
        <v>55</v>
      </c>
      <c r="J56" s="278" t="s">
        <v>26</v>
      </c>
      <c r="K56" s="10" t="s">
        <v>29</v>
      </c>
      <c r="L56" s="4"/>
      <c r="M56" s="10" t="s">
        <v>30</v>
      </c>
      <c r="N56" s="294">
        <f>12065562.94+5598219.16</f>
        <v>17663782.100000001</v>
      </c>
      <c r="O56" s="294">
        <f>12065562.94+5598219.16</f>
        <v>17663782.100000001</v>
      </c>
      <c r="P56" s="142">
        <f>11719564+5298158</f>
        <v>17017722</v>
      </c>
      <c r="Q56" s="146">
        <f>11719564+3896952</f>
        <v>15616516</v>
      </c>
      <c r="R56" s="294">
        <f>11719564+3896952</f>
        <v>15616516</v>
      </c>
      <c r="S56" s="294">
        <v>15616516</v>
      </c>
    </row>
    <row r="57" spans="1:19" ht="45" x14ac:dyDescent="0.25">
      <c r="A57" s="299"/>
      <c r="B57" s="297"/>
      <c r="C57" s="301"/>
      <c r="D57" s="290"/>
      <c r="E57" s="281"/>
      <c r="F57" s="281"/>
      <c r="G57" s="279"/>
      <c r="H57" s="281"/>
      <c r="I57" s="304"/>
      <c r="J57" s="279"/>
      <c r="K57" s="10" t="s">
        <v>117</v>
      </c>
      <c r="L57" s="10"/>
      <c r="M57" s="10" t="s">
        <v>118</v>
      </c>
      <c r="N57" s="295"/>
      <c r="O57" s="295"/>
      <c r="P57" s="143"/>
      <c r="Q57" s="143"/>
      <c r="R57" s="295"/>
      <c r="S57" s="295"/>
    </row>
    <row r="58" spans="1:19" ht="285" x14ac:dyDescent="0.25">
      <c r="A58" s="299"/>
      <c r="B58" s="297"/>
      <c r="C58" s="301"/>
      <c r="D58" s="290"/>
      <c r="E58" s="9" t="s">
        <v>22</v>
      </c>
      <c r="F58" s="7" t="s">
        <v>55</v>
      </c>
      <c r="G58" s="9" t="s">
        <v>23</v>
      </c>
      <c r="H58" s="10" t="s">
        <v>27</v>
      </c>
      <c r="I58" s="11" t="s">
        <v>55</v>
      </c>
      <c r="J58" s="10" t="s">
        <v>28</v>
      </c>
      <c r="K58" s="10" t="s">
        <v>115</v>
      </c>
      <c r="L58" s="10"/>
      <c r="M58" s="10" t="s">
        <v>116</v>
      </c>
      <c r="N58" s="295"/>
      <c r="O58" s="295"/>
      <c r="P58" s="143"/>
      <c r="Q58" s="143"/>
      <c r="R58" s="295"/>
      <c r="S58" s="295"/>
    </row>
    <row r="59" spans="1:19" s="23" customFormat="1" ht="156.75" x14ac:dyDescent="0.2">
      <c r="A59" s="16">
        <v>3200</v>
      </c>
      <c r="B59" s="17" t="s">
        <v>416</v>
      </c>
      <c r="C59" s="16"/>
      <c r="D59" s="26"/>
      <c r="E59" s="17"/>
      <c r="F59" s="17"/>
      <c r="G59" s="17"/>
      <c r="H59" s="17"/>
      <c r="I59" s="17"/>
      <c r="J59" s="17"/>
      <c r="K59" s="17"/>
      <c r="L59" s="17"/>
      <c r="M59" s="17"/>
      <c r="N59" s="40">
        <f t="shared" ref="N59:S59" si="7">N60</f>
        <v>45812854.689999998</v>
      </c>
      <c r="O59" s="40">
        <f t="shared" si="7"/>
        <v>45623524</v>
      </c>
      <c r="P59" s="40">
        <f t="shared" si="7"/>
        <v>67101643.259999998</v>
      </c>
      <c r="Q59" s="40">
        <f t="shared" si="7"/>
        <v>95406600</v>
      </c>
      <c r="R59" s="40">
        <f t="shared" si="7"/>
        <v>49587600</v>
      </c>
      <c r="S59" s="40">
        <f t="shared" si="7"/>
        <v>35419700</v>
      </c>
    </row>
    <row r="60" spans="1:19" ht="270" x14ac:dyDescent="0.25">
      <c r="A60" s="278">
        <v>3237</v>
      </c>
      <c r="B60" s="280" t="s">
        <v>387</v>
      </c>
      <c r="C60" s="278">
        <v>902</v>
      </c>
      <c r="D60" s="282" t="s">
        <v>131</v>
      </c>
      <c r="E60" s="280" t="s">
        <v>69</v>
      </c>
      <c r="F60" s="280" t="s">
        <v>132</v>
      </c>
      <c r="G60" s="280" t="s">
        <v>71</v>
      </c>
      <c r="H60" s="10" t="s">
        <v>133</v>
      </c>
      <c r="I60" s="10" t="s">
        <v>55</v>
      </c>
      <c r="J60" s="10" t="s">
        <v>134</v>
      </c>
      <c r="K60" s="10" t="s">
        <v>377</v>
      </c>
      <c r="L60" s="10"/>
      <c r="M60" s="10" t="s">
        <v>378</v>
      </c>
      <c r="N60" s="276">
        <v>45812854.689999998</v>
      </c>
      <c r="O60" s="276">
        <v>45623524</v>
      </c>
      <c r="P60" s="50">
        <v>67101643.259999998</v>
      </c>
      <c r="Q60" s="50">
        <v>95406600</v>
      </c>
      <c r="R60" s="276">
        <v>49587600</v>
      </c>
      <c r="S60" s="276">
        <v>35419700</v>
      </c>
    </row>
    <row r="61" spans="1:19" ht="60" x14ac:dyDescent="0.25">
      <c r="A61" s="279"/>
      <c r="B61" s="281"/>
      <c r="C61" s="279"/>
      <c r="D61" s="283"/>
      <c r="E61" s="281"/>
      <c r="F61" s="281"/>
      <c r="G61" s="281"/>
      <c r="H61" s="10" t="s">
        <v>135</v>
      </c>
      <c r="I61" s="10" t="s">
        <v>136</v>
      </c>
      <c r="J61" s="10" t="s">
        <v>137</v>
      </c>
      <c r="K61" s="10"/>
      <c r="L61" s="10"/>
      <c r="M61" s="10"/>
      <c r="N61" s="277"/>
      <c r="O61" s="277"/>
      <c r="P61" s="51"/>
      <c r="Q61" s="51"/>
      <c r="R61" s="277"/>
      <c r="S61" s="277"/>
    </row>
    <row r="62" spans="1:19" s="23" customFormat="1" ht="28.5" x14ac:dyDescent="0.2">
      <c r="A62" s="33"/>
      <c r="B62" s="32" t="s">
        <v>138</v>
      </c>
      <c r="C62" s="33">
        <v>903</v>
      </c>
      <c r="D62" s="34"/>
      <c r="E62" s="32"/>
      <c r="F62" s="32"/>
      <c r="G62" s="32"/>
      <c r="H62" s="32"/>
      <c r="I62" s="32"/>
      <c r="J62" s="32"/>
      <c r="K62" s="32"/>
      <c r="L62" s="32"/>
      <c r="M62" s="32"/>
      <c r="N62" s="41">
        <f t="shared" ref="N62:S62" si="8">N63+N65</f>
        <v>17463969</v>
      </c>
      <c r="O62" s="41">
        <f t="shared" si="8"/>
        <v>17176361.059999999</v>
      </c>
      <c r="P62" s="41">
        <f t="shared" si="8"/>
        <v>18743008</v>
      </c>
      <c r="Q62" s="41">
        <f t="shared" si="8"/>
        <v>18603008</v>
      </c>
      <c r="R62" s="41">
        <f t="shared" si="8"/>
        <v>18263008</v>
      </c>
      <c r="S62" s="41">
        <f t="shared" si="8"/>
        <v>18263008</v>
      </c>
    </row>
    <row r="63" spans="1:19" s="23" customFormat="1" ht="57" x14ac:dyDescent="0.2">
      <c r="A63" s="111">
        <v>2500</v>
      </c>
      <c r="B63" s="115" t="s">
        <v>542</v>
      </c>
      <c r="C63" s="16"/>
      <c r="D63" s="26"/>
      <c r="E63" s="17"/>
      <c r="F63" s="17"/>
      <c r="G63" s="17"/>
      <c r="H63" s="17"/>
      <c r="I63" s="17"/>
      <c r="J63" s="17"/>
      <c r="K63" s="17"/>
      <c r="L63" s="17"/>
      <c r="M63" s="17"/>
      <c r="N63" s="40">
        <f>N64</f>
        <v>0</v>
      </c>
      <c r="O63" s="40">
        <f t="shared" ref="O63:S63" si="9">O64</f>
        <v>0</v>
      </c>
      <c r="P63" s="40">
        <f t="shared" si="9"/>
        <v>110000</v>
      </c>
      <c r="Q63" s="40">
        <f t="shared" si="9"/>
        <v>110000</v>
      </c>
      <c r="R63" s="40">
        <f t="shared" si="9"/>
        <v>110000</v>
      </c>
      <c r="S63" s="40">
        <f t="shared" si="9"/>
        <v>110000</v>
      </c>
    </row>
    <row r="64" spans="1:19" ht="150" x14ac:dyDescent="0.25">
      <c r="A64" s="12">
        <v>2508</v>
      </c>
      <c r="B64" s="10" t="s">
        <v>45</v>
      </c>
      <c r="C64" s="12">
        <v>903</v>
      </c>
      <c r="D64" s="21" t="s">
        <v>120</v>
      </c>
      <c r="E64" s="10" t="s">
        <v>20</v>
      </c>
      <c r="F64" s="10" t="s">
        <v>121</v>
      </c>
      <c r="G64" s="10" t="s">
        <v>99</v>
      </c>
      <c r="H64" s="10"/>
      <c r="I64" s="10"/>
      <c r="J64" s="10"/>
      <c r="K64" s="10" t="s">
        <v>29</v>
      </c>
      <c r="L64" s="10" t="s">
        <v>122</v>
      </c>
      <c r="M64" s="10" t="s">
        <v>30</v>
      </c>
      <c r="N64" s="39">
        <v>0</v>
      </c>
      <c r="O64" s="39">
        <v>0</v>
      </c>
      <c r="P64" s="39">
        <v>110000</v>
      </c>
      <c r="Q64" s="39">
        <v>110000</v>
      </c>
      <c r="R64" s="39">
        <v>110000</v>
      </c>
      <c r="S64" s="39">
        <v>110000</v>
      </c>
    </row>
    <row r="65" spans="1:19" s="23" customFormat="1" ht="114" x14ac:dyDescent="0.2">
      <c r="A65" s="16">
        <v>2600</v>
      </c>
      <c r="B65" s="261" t="s">
        <v>543</v>
      </c>
      <c r="C65" s="116"/>
      <c r="D65" s="117"/>
      <c r="E65" s="118"/>
      <c r="F65" s="118"/>
      <c r="G65" s="118"/>
      <c r="H65" s="119"/>
      <c r="I65" s="118"/>
      <c r="J65" s="118"/>
      <c r="K65" s="17"/>
      <c r="L65" s="17"/>
      <c r="M65" s="17"/>
      <c r="N65" s="120">
        <f t="shared" ref="N65:S65" si="10">N66+N69+N71</f>
        <v>17463969</v>
      </c>
      <c r="O65" s="120">
        <f t="shared" si="10"/>
        <v>17176361.059999999</v>
      </c>
      <c r="P65" s="120">
        <f t="shared" si="10"/>
        <v>18633008</v>
      </c>
      <c r="Q65" s="120">
        <f t="shared" si="10"/>
        <v>18493008</v>
      </c>
      <c r="R65" s="120">
        <f t="shared" si="10"/>
        <v>18153008</v>
      </c>
      <c r="S65" s="120">
        <f t="shared" si="10"/>
        <v>18153008</v>
      </c>
    </row>
    <row r="66" spans="1:19" ht="45" x14ac:dyDescent="0.25">
      <c r="A66" s="298" t="s">
        <v>532</v>
      </c>
      <c r="B66" s="280" t="s">
        <v>382</v>
      </c>
      <c r="C66" s="300">
        <v>903</v>
      </c>
      <c r="D66" s="282" t="s">
        <v>140</v>
      </c>
      <c r="E66" s="280" t="s">
        <v>20</v>
      </c>
      <c r="F66" s="280" t="s">
        <v>353</v>
      </c>
      <c r="G66" s="278" t="s">
        <v>21</v>
      </c>
      <c r="H66" s="280" t="s">
        <v>24</v>
      </c>
      <c r="I66" s="303" t="s">
        <v>55</v>
      </c>
      <c r="J66" s="278" t="s">
        <v>26</v>
      </c>
      <c r="K66" s="10" t="s">
        <v>29</v>
      </c>
      <c r="L66" s="4"/>
      <c r="M66" s="10" t="s">
        <v>30</v>
      </c>
      <c r="N66" s="291">
        <f>15244853+279914</f>
        <v>15524767</v>
      </c>
      <c r="O66" s="291">
        <v>15237311.449999999</v>
      </c>
      <c r="P66" s="276">
        <v>16113008</v>
      </c>
      <c r="Q66" s="276">
        <v>15973008</v>
      </c>
      <c r="R66" s="291">
        <v>15633008</v>
      </c>
      <c r="S66" s="291">
        <v>15633008</v>
      </c>
    </row>
    <row r="67" spans="1:19" ht="60" x14ac:dyDescent="0.25">
      <c r="A67" s="299"/>
      <c r="B67" s="297"/>
      <c r="C67" s="301"/>
      <c r="D67" s="290"/>
      <c r="E67" s="281"/>
      <c r="F67" s="281"/>
      <c r="G67" s="279"/>
      <c r="H67" s="281"/>
      <c r="I67" s="304"/>
      <c r="J67" s="279"/>
      <c r="K67" s="10" t="s">
        <v>410</v>
      </c>
      <c r="L67" s="10"/>
      <c r="M67" s="10" t="s">
        <v>142</v>
      </c>
      <c r="N67" s="293"/>
      <c r="O67" s="293"/>
      <c r="P67" s="284"/>
      <c r="Q67" s="284"/>
      <c r="R67" s="293"/>
      <c r="S67" s="293"/>
    </row>
    <row r="68" spans="1:19" ht="285" x14ac:dyDescent="0.25">
      <c r="A68" s="299"/>
      <c r="B68" s="297"/>
      <c r="C68" s="301"/>
      <c r="D68" s="290"/>
      <c r="E68" s="144" t="s">
        <v>22</v>
      </c>
      <c r="F68" s="145" t="s">
        <v>55</v>
      </c>
      <c r="G68" s="144" t="s">
        <v>23</v>
      </c>
      <c r="H68" s="194" t="s">
        <v>27</v>
      </c>
      <c r="I68" s="198" t="s">
        <v>55</v>
      </c>
      <c r="J68" s="194" t="s">
        <v>28</v>
      </c>
      <c r="K68" s="10" t="s">
        <v>145</v>
      </c>
      <c r="L68" s="10"/>
      <c r="M68" s="10" t="s">
        <v>146</v>
      </c>
      <c r="N68" s="293"/>
      <c r="O68" s="293"/>
      <c r="P68" s="284"/>
      <c r="Q68" s="284"/>
      <c r="R68" s="293"/>
      <c r="S68" s="293"/>
    </row>
    <row r="69" spans="1:19" ht="45" x14ac:dyDescent="0.25">
      <c r="A69" s="104">
        <v>2604</v>
      </c>
      <c r="B69" s="10" t="s">
        <v>397</v>
      </c>
      <c r="C69" s="278">
        <v>903</v>
      </c>
      <c r="D69" s="282" t="s">
        <v>398</v>
      </c>
      <c r="E69" s="280" t="s">
        <v>20</v>
      </c>
      <c r="F69" s="280" t="s">
        <v>141</v>
      </c>
      <c r="G69" s="280" t="s">
        <v>99</v>
      </c>
      <c r="H69" s="278"/>
      <c r="I69" s="300"/>
      <c r="J69" s="278"/>
      <c r="K69" s="73" t="s">
        <v>29</v>
      </c>
      <c r="L69" s="73" t="s">
        <v>359</v>
      </c>
      <c r="M69" s="73" t="s">
        <v>30</v>
      </c>
      <c r="N69" s="291">
        <v>602</v>
      </c>
      <c r="O69" s="291">
        <v>601.62</v>
      </c>
      <c r="P69" s="291">
        <v>0</v>
      </c>
      <c r="Q69" s="291">
        <v>0</v>
      </c>
      <c r="R69" s="291">
        <v>0</v>
      </c>
      <c r="S69" s="291">
        <v>0</v>
      </c>
    </row>
    <row r="70" spans="1:19" ht="75" x14ac:dyDescent="0.25">
      <c r="A70" s="152"/>
      <c r="B70" s="154"/>
      <c r="C70" s="279"/>
      <c r="D70" s="283"/>
      <c r="E70" s="281"/>
      <c r="F70" s="281"/>
      <c r="G70" s="281"/>
      <c r="H70" s="279"/>
      <c r="I70" s="302"/>
      <c r="J70" s="279"/>
      <c r="K70" s="73" t="s">
        <v>449</v>
      </c>
      <c r="L70" s="73"/>
      <c r="M70" s="73" t="s">
        <v>450</v>
      </c>
      <c r="N70" s="292"/>
      <c r="O70" s="292"/>
      <c r="P70" s="292"/>
      <c r="Q70" s="292"/>
      <c r="R70" s="292"/>
      <c r="S70" s="292"/>
    </row>
    <row r="71" spans="1:19" ht="120" x14ac:dyDescent="0.25">
      <c r="A71" s="94">
        <v>2623</v>
      </c>
      <c r="B71" s="126" t="s">
        <v>361</v>
      </c>
      <c r="C71" s="155">
        <v>903</v>
      </c>
      <c r="D71" s="153" t="s">
        <v>362</v>
      </c>
      <c r="E71" s="154" t="s">
        <v>20</v>
      </c>
      <c r="F71" s="154" t="s">
        <v>363</v>
      </c>
      <c r="G71" s="154" t="s">
        <v>99</v>
      </c>
      <c r="H71" s="154" t="s">
        <v>24</v>
      </c>
      <c r="I71" s="154" t="s">
        <v>312</v>
      </c>
      <c r="J71" s="154" t="s">
        <v>26</v>
      </c>
      <c r="K71" s="10" t="s">
        <v>364</v>
      </c>
      <c r="L71" s="73"/>
      <c r="M71" s="73" t="s">
        <v>451</v>
      </c>
      <c r="N71" s="291">
        <v>1938600</v>
      </c>
      <c r="O71" s="291">
        <v>1938447.99</v>
      </c>
      <c r="P71" s="291">
        <v>2520000</v>
      </c>
      <c r="Q71" s="291">
        <v>2520000</v>
      </c>
      <c r="R71" s="291">
        <v>2520000</v>
      </c>
      <c r="S71" s="291">
        <v>2520000</v>
      </c>
    </row>
    <row r="72" spans="1:19" ht="120" x14ac:dyDescent="0.25">
      <c r="A72" s="152"/>
      <c r="B72" s="154"/>
      <c r="C72" s="152"/>
      <c r="D72" s="153"/>
      <c r="E72" s="154"/>
      <c r="F72" s="154"/>
      <c r="G72" s="154"/>
      <c r="H72" s="122"/>
      <c r="I72" s="156"/>
      <c r="J72" s="154"/>
      <c r="K72" s="73" t="s">
        <v>452</v>
      </c>
      <c r="L72" s="73"/>
      <c r="M72" s="73" t="s">
        <v>453</v>
      </c>
      <c r="N72" s="292"/>
      <c r="O72" s="292"/>
      <c r="P72" s="292"/>
      <c r="Q72" s="292"/>
      <c r="R72" s="292"/>
      <c r="S72" s="292"/>
    </row>
    <row r="73" spans="1:19" s="23" customFormat="1" ht="57" x14ac:dyDescent="0.2">
      <c r="A73" s="33"/>
      <c r="B73" s="32" t="s">
        <v>147</v>
      </c>
      <c r="C73" s="33">
        <v>904</v>
      </c>
      <c r="D73" s="34"/>
      <c r="E73" s="32"/>
      <c r="F73" s="32"/>
      <c r="G73" s="32"/>
      <c r="H73" s="32"/>
      <c r="I73" s="32"/>
      <c r="J73" s="32"/>
      <c r="K73" s="32"/>
      <c r="L73" s="32"/>
      <c r="M73" s="32"/>
      <c r="N73" s="41">
        <f t="shared" ref="N73:S73" si="11">N74</f>
        <v>33548055.129999999</v>
      </c>
      <c r="O73" s="41">
        <f t="shared" si="11"/>
        <v>33385048.710000001</v>
      </c>
      <c r="P73" s="41">
        <f t="shared" si="11"/>
        <v>34037618</v>
      </c>
      <c r="Q73" s="41">
        <f t="shared" si="11"/>
        <v>33605318</v>
      </c>
      <c r="R73" s="41">
        <f t="shared" si="11"/>
        <v>33005318</v>
      </c>
      <c r="S73" s="41">
        <f t="shared" si="11"/>
        <v>33005318</v>
      </c>
    </row>
    <row r="74" spans="1:19" s="23" customFormat="1" ht="57" x14ac:dyDescent="0.2">
      <c r="A74" s="111">
        <v>2500</v>
      </c>
      <c r="B74" s="115" t="s">
        <v>542</v>
      </c>
      <c r="C74" s="16">
        <v>904</v>
      </c>
      <c r="D74" s="26"/>
      <c r="E74" s="17"/>
      <c r="F74" s="17"/>
      <c r="G74" s="17"/>
      <c r="H74" s="17"/>
      <c r="I74" s="17"/>
      <c r="J74" s="17"/>
      <c r="K74" s="17"/>
      <c r="L74" s="17"/>
      <c r="M74" s="17"/>
      <c r="N74" s="40">
        <f t="shared" ref="N74:S74" si="12">N75+N78</f>
        <v>33548055.129999999</v>
      </c>
      <c r="O74" s="40">
        <f t="shared" si="12"/>
        <v>33385048.710000001</v>
      </c>
      <c r="P74" s="40">
        <f t="shared" si="12"/>
        <v>34037618</v>
      </c>
      <c r="Q74" s="40">
        <f t="shared" si="12"/>
        <v>33605318</v>
      </c>
      <c r="R74" s="40">
        <f t="shared" si="12"/>
        <v>33005318</v>
      </c>
      <c r="S74" s="40">
        <f t="shared" si="12"/>
        <v>33005318</v>
      </c>
    </row>
    <row r="75" spans="1:19" ht="135" x14ac:dyDescent="0.25">
      <c r="A75" s="278">
        <v>2517</v>
      </c>
      <c r="B75" s="280" t="s">
        <v>148</v>
      </c>
      <c r="C75" s="278">
        <v>904</v>
      </c>
      <c r="D75" s="282" t="s">
        <v>150</v>
      </c>
      <c r="E75" s="10" t="s">
        <v>149</v>
      </c>
      <c r="F75" s="10" t="s">
        <v>151</v>
      </c>
      <c r="G75" s="10" t="s">
        <v>152</v>
      </c>
      <c r="H75" s="10" t="s">
        <v>153</v>
      </c>
      <c r="I75" s="10" t="s">
        <v>53</v>
      </c>
      <c r="J75" s="10" t="s">
        <v>154</v>
      </c>
      <c r="K75" s="10" t="s">
        <v>158</v>
      </c>
      <c r="L75" s="10"/>
      <c r="M75" s="10" t="s">
        <v>159</v>
      </c>
      <c r="N75" s="276">
        <f>33548055.13-349301.2</f>
        <v>33198753.93</v>
      </c>
      <c r="O75" s="291">
        <f>33385048.71-349301.2</f>
        <v>33035747.510000002</v>
      </c>
      <c r="P75" s="53">
        <f>34037618-P78</f>
        <v>33632618</v>
      </c>
      <c r="Q75" s="53">
        <f>33605318-Q78</f>
        <v>33200318</v>
      </c>
      <c r="R75" s="291">
        <f>33005318-R78</f>
        <v>32769360</v>
      </c>
      <c r="S75" s="291">
        <f>R75</f>
        <v>32769360</v>
      </c>
    </row>
    <row r="76" spans="1:19" ht="285" x14ac:dyDescent="0.25">
      <c r="A76" s="289"/>
      <c r="B76" s="297"/>
      <c r="C76" s="289"/>
      <c r="D76" s="290"/>
      <c r="E76" s="10"/>
      <c r="F76" s="10"/>
      <c r="G76" s="10"/>
      <c r="H76" s="10" t="s">
        <v>155</v>
      </c>
      <c r="I76" s="10" t="s">
        <v>156</v>
      </c>
      <c r="J76" s="10" t="s">
        <v>157</v>
      </c>
      <c r="K76" s="10" t="s">
        <v>160</v>
      </c>
      <c r="L76" s="10"/>
      <c r="M76" s="18">
        <v>40961</v>
      </c>
      <c r="N76" s="284"/>
      <c r="O76" s="293"/>
      <c r="P76" s="54"/>
      <c r="Q76" s="54"/>
      <c r="R76" s="293"/>
      <c r="S76" s="293"/>
    </row>
    <row r="77" spans="1:19" ht="105" x14ac:dyDescent="0.25">
      <c r="A77" s="289"/>
      <c r="B77" s="297"/>
      <c r="C77" s="289"/>
      <c r="D77" s="290"/>
      <c r="E77" s="10"/>
      <c r="F77" s="10"/>
      <c r="G77" s="10"/>
      <c r="H77" s="10"/>
      <c r="I77" s="10"/>
      <c r="J77" s="10"/>
      <c r="K77" s="10" t="s">
        <v>161</v>
      </c>
      <c r="L77" s="10"/>
      <c r="M77" s="18">
        <v>41241</v>
      </c>
      <c r="N77" s="284"/>
      <c r="O77" s="293"/>
      <c r="P77" s="54"/>
      <c r="Q77" s="54"/>
      <c r="R77" s="293"/>
      <c r="S77" s="293"/>
    </row>
    <row r="78" spans="1:19" ht="45" x14ac:dyDescent="0.25">
      <c r="A78" s="278">
        <v>2520</v>
      </c>
      <c r="B78" s="280" t="s">
        <v>162</v>
      </c>
      <c r="C78" s="278">
        <v>904</v>
      </c>
      <c r="D78" s="282" t="s">
        <v>150</v>
      </c>
      <c r="E78" s="10" t="s">
        <v>163</v>
      </c>
      <c r="F78" s="10" t="s">
        <v>166</v>
      </c>
      <c r="G78" s="10" t="s">
        <v>164</v>
      </c>
      <c r="H78" s="278"/>
      <c r="I78" s="278"/>
      <c r="J78" s="278"/>
      <c r="K78" s="10" t="s">
        <v>29</v>
      </c>
      <c r="L78" s="10" t="s">
        <v>167</v>
      </c>
      <c r="M78" s="10" t="s">
        <v>30</v>
      </c>
      <c r="N78" s="276">
        <v>349301.2</v>
      </c>
      <c r="O78" s="276">
        <v>349301.2</v>
      </c>
      <c r="P78" s="50">
        <v>405000</v>
      </c>
      <c r="Q78" s="50">
        <v>405000</v>
      </c>
      <c r="R78" s="276">
        <v>235958</v>
      </c>
      <c r="S78" s="276">
        <v>235958</v>
      </c>
    </row>
    <row r="79" spans="1:19" ht="120" x14ac:dyDescent="0.25">
      <c r="A79" s="289"/>
      <c r="B79" s="297"/>
      <c r="C79" s="289"/>
      <c r="D79" s="290"/>
      <c r="E79" s="10" t="s">
        <v>20</v>
      </c>
      <c r="F79" s="10" t="s">
        <v>165</v>
      </c>
      <c r="G79" s="10" t="s">
        <v>99</v>
      </c>
      <c r="H79" s="289"/>
      <c r="I79" s="289"/>
      <c r="J79" s="289"/>
      <c r="K79" s="10" t="s">
        <v>521</v>
      </c>
      <c r="L79" s="10"/>
      <c r="M79" s="27" t="s">
        <v>522</v>
      </c>
      <c r="N79" s="284"/>
      <c r="O79" s="284"/>
      <c r="P79" s="52"/>
      <c r="Q79" s="52"/>
      <c r="R79" s="284"/>
      <c r="S79" s="284"/>
    </row>
    <row r="80" spans="1:19" ht="90" x14ac:dyDescent="0.25">
      <c r="A80" s="131"/>
      <c r="B80" s="132"/>
      <c r="C80" s="131"/>
      <c r="D80" s="133"/>
      <c r="E80" s="10"/>
      <c r="F80" s="10"/>
      <c r="G80" s="10"/>
      <c r="H80" s="131"/>
      <c r="I80" s="131"/>
      <c r="J80" s="131"/>
      <c r="K80" s="10" t="s">
        <v>425</v>
      </c>
      <c r="L80" s="10"/>
      <c r="M80" s="10" t="s">
        <v>426</v>
      </c>
      <c r="N80" s="134"/>
      <c r="O80" s="134"/>
      <c r="P80" s="134"/>
      <c r="Q80" s="134"/>
      <c r="R80" s="134"/>
      <c r="S80" s="134"/>
    </row>
    <row r="81" spans="1:19" s="23" customFormat="1" ht="28.5" x14ac:dyDescent="0.2">
      <c r="A81" s="33"/>
      <c r="B81" s="32" t="s">
        <v>168</v>
      </c>
      <c r="C81" s="33">
        <v>906</v>
      </c>
      <c r="D81" s="34"/>
      <c r="E81" s="32"/>
      <c r="F81" s="32"/>
      <c r="G81" s="32"/>
      <c r="H81" s="32"/>
      <c r="I81" s="32"/>
      <c r="J81" s="32"/>
      <c r="K81" s="32"/>
      <c r="L81" s="32"/>
      <c r="M81" s="32"/>
      <c r="N81" s="42">
        <f t="shared" ref="N81:S81" si="13">N82+N101+N97+N110</f>
        <v>1473355675</v>
      </c>
      <c r="O81" s="42">
        <f t="shared" si="13"/>
        <v>1464971109</v>
      </c>
      <c r="P81" s="42">
        <f t="shared" si="13"/>
        <v>1599415439</v>
      </c>
      <c r="Q81" s="42">
        <f t="shared" si="13"/>
        <v>1578426148.8600001</v>
      </c>
      <c r="R81" s="42">
        <f t="shared" si="13"/>
        <v>1568618639.6900001</v>
      </c>
      <c r="S81" s="42">
        <f t="shared" si="13"/>
        <v>1461676672</v>
      </c>
    </row>
    <row r="82" spans="1:19" s="23" customFormat="1" ht="57" x14ac:dyDescent="0.2">
      <c r="A82" s="112">
        <v>2500</v>
      </c>
      <c r="B82" s="121" t="s">
        <v>542</v>
      </c>
      <c r="C82" s="24"/>
      <c r="D82" s="26"/>
      <c r="E82" s="17"/>
      <c r="F82" s="17"/>
      <c r="G82" s="17"/>
      <c r="H82" s="17"/>
      <c r="I82" s="17"/>
      <c r="J82" s="17"/>
      <c r="K82" s="17"/>
      <c r="L82" s="17"/>
      <c r="M82" s="17"/>
      <c r="N82" s="43">
        <f t="shared" ref="N82:O82" si="14">N83+N95</f>
        <v>496764695</v>
      </c>
      <c r="O82" s="43">
        <f t="shared" si="14"/>
        <v>494914718.25</v>
      </c>
      <c r="P82" s="43">
        <f>P83+P95</f>
        <v>541056152.60000002</v>
      </c>
      <c r="Q82" s="43">
        <f t="shared" ref="Q82:S82" si="15">Q83+Q95</f>
        <v>524550121.86000001</v>
      </c>
      <c r="R82" s="43">
        <f t="shared" si="15"/>
        <v>511786609.69</v>
      </c>
      <c r="S82" s="43">
        <f t="shared" si="15"/>
        <v>452343144</v>
      </c>
    </row>
    <row r="83" spans="1:19" ht="195" x14ac:dyDescent="0.25">
      <c r="A83" s="289" t="s">
        <v>534</v>
      </c>
      <c r="B83" s="297" t="s">
        <v>169</v>
      </c>
      <c r="C83" s="289">
        <v>906</v>
      </c>
      <c r="D83" s="290" t="s">
        <v>170</v>
      </c>
      <c r="E83" s="103" t="s">
        <v>20</v>
      </c>
      <c r="F83" s="103" t="s">
        <v>171</v>
      </c>
      <c r="G83" s="103" t="s">
        <v>99</v>
      </c>
      <c r="H83" s="103" t="s">
        <v>172</v>
      </c>
      <c r="I83" s="10" t="s">
        <v>127</v>
      </c>
      <c r="J83" s="10" t="s">
        <v>173</v>
      </c>
      <c r="K83" s="10" t="s">
        <v>430</v>
      </c>
      <c r="L83" s="10"/>
      <c r="M83" s="10" t="s">
        <v>431</v>
      </c>
      <c r="N83" s="276">
        <f>526088870-47453980-7106493-22217682</f>
        <v>449310715</v>
      </c>
      <c r="O83" s="276">
        <f>521297567.75-6856697.1-47329923.81-19526152.4</f>
        <v>447584794.44</v>
      </c>
      <c r="P83" s="50">
        <f>550609218.6-59338639</f>
        <v>491270579.60000002</v>
      </c>
      <c r="Q83" s="50">
        <f>475205816.86-9</f>
        <v>475205807.86000001</v>
      </c>
      <c r="R83" s="276">
        <v>462442295.69</v>
      </c>
      <c r="S83" s="276">
        <v>402998830</v>
      </c>
    </row>
    <row r="84" spans="1:19" ht="60" x14ac:dyDescent="0.25">
      <c r="A84" s="289"/>
      <c r="B84" s="297"/>
      <c r="C84" s="289"/>
      <c r="D84" s="290"/>
      <c r="E84" s="10"/>
      <c r="F84" s="10"/>
      <c r="G84" s="10"/>
      <c r="H84" s="10" t="s">
        <v>174</v>
      </c>
      <c r="I84" s="10" t="s">
        <v>55</v>
      </c>
      <c r="J84" s="10" t="s">
        <v>175</v>
      </c>
      <c r="K84" s="10" t="s">
        <v>29</v>
      </c>
      <c r="L84" s="10" t="s">
        <v>176</v>
      </c>
      <c r="M84" s="10" t="s">
        <v>30</v>
      </c>
      <c r="N84" s="284"/>
      <c r="O84" s="284"/>
      <c r="P84" s="52"/>
      <c r="Q84" s="52"/>
      <c r="R84" s="284"/>
      <c r="S84" s="284"/>
    </row>
    <row r="85" spans="1:19" ht="90" x14ac:dyDescent="0.25">
      <c r="A85" s="289"/>
      <c r="B85" s="297"/>
      <c r="C85" s="289"/>
      <c r="D85" s="290"/>
      <c r="E85" s="10"/>
      <c r="F85" s="10"/>
      <c r="G85" s="10"/>
      <c r="H85" s="10"/>
      <c r="I85" s="10"/>
      <c r="J85" s="10"/>
      <c r="K85" s="10" t="s">
        <v>179</v>
      </c>
      <c r="L85" s="10"/>
      <c r="M85" s="10" t="s">
        <v>180</v>
      </c>
      <c r="N85" s="284"/>
      <c r="O85" s="284"/>
      <c r="P85" s="52"/>
      <c r="Q85" s="52"/>
      <c r="R85" s="284"/>
      <c r="S85" s="284"/>
    </row>
    <row r="86" spans="1:19" ht="135" x14ac:dyDescent="0.25">
      <c r="A86" s="289"/>
      <c r="B86" s="297"/>
      <c r="C86" s="289"/>
      <c r="D86" s="290"/>
      <c r="E86" s="10"/>
      <c r="F86" s="10"/>
      <c r="G86" s="10"/>
      <c r="H86" s="10"/>
      <c r="I86" s="10"/>
      <c r="J86" s="10"/>
      <c r="K86" s="10" t="s">
        <v>177</v>
      </c>
      <c r="L86" s="10"/>
      <c r="M86" s="10" t="s">
        <v>178</v>
      </c>
      <c r="N86" s="284"/>
      <c r="O86" s="284"/>
      <c r="P86" s="52"/>
      <c r="Q86" s="52"/>
      <c r="R86" s="284"/>
      <c r="S86" s="284"/>
    </row>
    <row r="87" spans="1:19" ht="285" x14ac:dyDescent="0.25">
      <c r="A87" s="289"/>
      <c r="B87" s="297"/>
      <c r="C87" s="289"/>
      <c r="D87" s="290"/>
      <c r="E87" s="10"/>
      <c r="F87" s="10"/>
      <c r="G87" s="10"/>
      <c r="H87" s="10"/>
      <c r="I87" s="10"/>
      <c r="J87" s="10"/>
      <c r="K87" s="10" t="s">
        <v>366</v>
      </c>
      <c r="L87" s="10"/>
      <c r="M87" s="10" t="s">
        <v>367</v>
      </c>
      <c r="N87" s="284"/>
      <c r="O87" s="284"/>
      <c r="P87" s="52"/>
      <c r="Q87" s="52"/>
      <c r="R87" s="284"/>
      <c r="S87" s="284"/>
    </row>
    <row r="88" spans="1:19" ht="105" x14ac:dyDescent="0.25">
      <c r="A88" s="165"/>
      <c r="B88" s="160"/>
      <c r="C88" s="165"/>
      <c r="D88" s="161"/>
      <c r="E88" s="10"/>
      <c r="F88" s="10"/>
      <c r="G88" s="10"/>
      <c r="H88" s="10"/>
      <c r="I88" s="10"/>
      <c r="J88" s="10"/>
      <c r="K88" s="226" t="s">
        <v>465</v>
      </c>
      <c r="L88" s="27"/>
      <c r="M88" s="27" t="s">
        <v>471</v>
      </c>
      <c r="N88" s="164"/>
      <c r="O88" s="164"/>
      <c r="P88" s="164"/>
      <c r="Q88" s="164"/>
      <c r="R88" s="164"/>
      <c r="S88" s="164"/>
    </row>
    <row r="89" spans="1:19" ht="165" x14ac:dyDescent="0.25">
      <c r="A89" s="203"/>
      <c r="B89" s="201"/>
      <c r="C89" s="203"/>
      <c r="D89" s="202"/>
      <c r="E89" s="10"/>
      <c r="F89" s="10"/>
      <c r="G89" s="10"/>
      <c r="H89" s="10"/>
      <c r="I89" s="10"/>
      <c r="J89" s="10"/>
      <c r="K89" s="27" t="s">
        <v>496</v>
      </c>
      <c r="L89" s="27"/>
      <c r="M89" s="27" t="s">
        <v>497</v>
      </c>
      <c r="N89" s="204"/>
      <c r="O89" s="204"/>
      <c r="P89" s="204"/>
      <c r="Q89" s="204"/>
      <c r="R89" s="204"/>
      <c r="S89" s="204"/>
    </row>
    <row r="90" spans="1:19" ht="150" x14ac:dyDescent="0.25">
      <c r="A90" s="177"/>
      <c r="B90" s="179"/>
      <c r="C90" s="177"/>
      <c r="D90" s="178"/>
      <c r="E90" s="10"/>
      <c r="F90" s="10"/>
      <c r="G90" s="10"/>
      <c r="H90" s="10"/>
      <c r="I90" s="10"/>
      <c r="J90" s="10"/>
      <c r="K90" s="226" t="s">
        <v>479</v>
      </c>
      <c r="L90" s="27"/>
      <c r="M90" s="27" t="s">
        <v>480</v>
      </c>
      <c r="N90" s="176"/>
      <c r="O90" s="176"/>
      <c r="P90" s="176"/>
      <c r="Q90" s="176"/>
      <c r="R90" s="176"/>
      <c r="S90" s="176"/>
    </row>
    <row r="91" spans="1:19" ht="255" x14ac:dyDescent="0.25">
      <c r="A91" s="181"/>
      <c r="B91" s="183"/>
      <c r="C91" s="181"/>
      <c r="D91" s="182"/>
      <c r="E91" s="10"/>
      <c r="F91" s="10"/>
      <c r="G91" s="10"/>
      <c r="H91" s="10"/>
      <c r="I91" s="10"/>
      <c r="J91" s="10"/>
      <c r="K91" s="219" t="s">
        <v>481</v>
      </c>
      <c r="L91" s="185"/>
      <c r="M91" s="185" t="s">
        <v>484</v>
      </c>
      <c r="N91" s="180"/>
      <c r="O91" s="180"/>
      <c r="P91" s="180"/>
      <c r="Q91" s="180"/>
      <c r="R91" s="180"/>
      <c r="S91" s="180"/>
    </row>
    <row r="92" spans="1:19" ht="135" x14ac:dyDescent="0.25">
      <c r="A92" s="181"/>
      <c r="B92" s="183"/>
      <c r="C92" s="181"/>
      <c r="D92" s="182"/>
      <c r="E92" s="10"/>
      <c r="F92" s="10"/>
      <c r="G92" s="10"/>
      <c r="H92" s="10"/>
      <c r="I92" s="10"/>
      <c r="J92" s="10"/>
      <c r="K92" s="219" t="s">
        <v>482</v>
      </c>
      <c r="L92" s="184"/>
      <c r="M92" s="10" t="s">
        <v>483</v>
      </c>
      <c r="N92" s="180"/>
      <c r="O92" s="180"/>
      <c r="P92" s="180"/>
      <c r="Q92" s="180"/>
      <c r="R92" s="180"/>
      <c r="S92" s="180"/>
    </row>
    <row r="93" spans="1:19" ht="150" x14ac:dyDescent="0.25">
      <c r="A93" s="139"/>
      <c r="B93" s="141"/>
      <c r="C93" s="138"/>
      <c r="D93" s="140"/>
      <c r="E93" s="10"/>
      <c r="F93" s="10"/>
      <c r="G93" s="10"/>
      <c r="H93" s="10"/>
      <c r="I93" s="10"/>
      <c r="J93" s="10"/>
      <c r="K93" s="220" t="s">
        <v>435</v>
      </c>
      <c r="L93" s="10"/>
      <c r="M93" s="10" t="s">
        <v>436</v>
      </c>
      <c r="N93" s="137"/>
      <c r="O93" s="137"/>
      <c r="P93" s="137"/>
      <c r="Q93" s="137"/>
      <c r="R93" s="137"/>
      <c r="S93" s="137"/>
    </row>
    <row r="94" spans="1:19" ht="409.5" x14ac:dyDescent="0.25">
      <c r="A94" s="209"/>
      <c r="B94" s="210"/>
      <c r="C94" s="207"/>
      <c r="D94" s="208"/>
      <c r="E94" s="10"/>
      <c r="F94" s="10"/>
      <c r="G94" s="10"/>
      <c r="H94" s="10"/>
      <c r="I94" s="10"/>
      <c r="J94" s="10"/>
      <c r="K94" s="220" t="s">
        <v>498</v>
      </c>
      <c r="L94" s="10"/>
      <c r="M94" s="10" t="s">
        <v>499</v>
      </c>
      <c r="N94" s="206"/>
      <c r="O94" s="206"/>
      <c r="P94" s="206"/>
      <c r="Q94" s="206"/>
      <c r="R94" s="206"/>
      <c r="S94" s="206"/>
    </row>
    <row r="95" spans="1:19" ht="90" x14ac:dyDescent="0.25">
      <c r="A95" s="259">
        <v>2527</v>
      </c>
      <c r="B95" s="269" t="s">
        <v>541</v>
      </c>
      <c r="C95" s="125">
        <v>906</v>
      </c>
      <c r="D95" s="257" t="s">
        <v>209</v>
      </c>
      <c r="E95" s="81" t="s">
        <v>20</v>
      </c>
      <c r="F95" s="10" t="s">
        <v>354</v>
      </c>
      <c r="G95" s="10" t="s">
        <v>21</v>
      </c>
      <c r="H95" s="10"/>
      <c r="I95" s="10"/>
      <c r="J95" s="10"/>
      <c r="K95" s="10" t="s">
        <v>29</v>
      </c>
      <c r="L95" s="10"/>
      <c r="M95" s="10" t="s">
        <v>30</v>
      </c>
      <c r="N95" s="276">
        <v>47453980</v>
      </c>
      <c r="O95" s="276">
        <v>47329923.810000002</v>
      </c>
      <c r="P95" s="276">
        <v>49785573</v>
      </c>
      <c r="Q95" s="276">
        <v>49344314</v>
      </c>
      <c r="R95" s="276">
        <v>49344314</v>
      </c>
      <c r="S95" s="276">
        <v>49344314</v>
      </c>
    </row>
    <row r="96" spans="1:19" ht="105" x14ac:dyDescent="0.25">
      <c r="A96" s="260"/>
      <c r="B96" s="270"/>
      <c r="C96" s="108"/>
      <c r="D96" s="258"/>
      <c r="E96" s="81"/>
      <c r="F96" s="10"/>
      <c r="G96" s="10"/>
      <c r="H96" s="10"/>
      <c r="I96" s="10"/>
      <c r="J96" s="10"/>
      <c r="K96" s="10" t="s">
        <v>411</v>
      </c>
      <c r="L96" s="10"/>
      <c r="M96" s="10" t="s">
        <v>412</v>
      </c>
      <c r="N96" s="277"/>
      <c r="O96" s="277"/>
      <c r="P96" s="277"/>
      <c r="Q96" s="277"/>
      <c r="R96" s="277"/>
      <c r="S96" s="277"/>
    </row>
    <row r="97" spans="1:19" s="23" customFormat="1" ht="114" x14ac:dyDescent="0.2">
      <c r="A97" s="16">
        <v>2600</v>
      </c>
      <c r="B97" s="261" t="s">
        <v>543</v>
      </c>
      <c r="C97" s="78"/>
      <c r="D97" s="79"/>
      <c r="E97" s="17"/>
      <c r="F97" s="17"/>
      <c r="G97" s="17"/>
      <c r="H97" s="17"/>
      <c r="I97" s="17"/>
      <c r="J97" s="17"/>
      <c r="K97" s="17"/>
      <c r="L97" s="17"/>
      <c r="M97" s="17"/>
      <c r="N97" s="43">
        <f>N98+N100</f>
        <v>29324175</v>
      </c>
      <c r="O97" s="43">
        <f t="shared" ref="O97:S97" si="16">O98+O100</f>
        <v>26382849.5</v>
      </c>
      <c r="P97" s="43">
        <f t="shared" si="16"/>
        <v>67072116.399999999</v>
      </c>
      <c r="Q97" s="43">
        <f t="shared" si="16"/>
        <v>71590327</v>
      </c>
      <c r="R97" s="43">
        <f t="shared" si="16"/>
        <v>68663030</v>
      </c>
      <c r="S97" s="43">
        <f t="shared" si="16"/>
        <v>25226628</v>
      </c>
    </row>
    <row r="98" spans="1:19" ht="105" x14ac:dyDescent="0.25">
      <c r="A98" s="80" t="s">
        <v>532</v>
      </c>
      <c r="B98" s="109" t="s">
        <v>382</v>
      </c>
      <c r="C98" s="107">
        <v>906</v>
      </c>
      <c r="D98" s="101" t="s">
        <v>209</v>
      </c>
      <c r="E98" s="81" t="s">
        <v>20</v>
      </c>
      <c r="F98" s="10" t="s">
        <v>353</v>
      </c>
      <c r="G98" s="10" t="s">
        <v>21</v>
      </c>
      <c r="H98" s="10" t="s">
        <v>24</v>
      </c>
      <c r="I98" s="10" t="s">
        <v>55</v>
      </c>
      <c r="J98" s="10" t="s">
        <v>26</v>
      </c>
      <c r="K98" s="10" t="s">
        <v>29</v>
      </c>
      <c r="L98" s="10"/>
      <c r="M98" s="10" t="s">
        <v>30</v>
      </c>
      <c r="N98" s="276">
        <v>7106493</v>
      </c>
      <c r="O98" s="276">
        <v>6856697.0999999996</v>
      </c>
      <c r="P98" s="276">
        <v>7733477.4000000004</v>
      </c>
      <c r="Q98" s="276">
        <v>7902840</v>
      </c>
      <c r="R98" s="276">
        <v>7874842</v>
      </c>
      <c r="S98" s="276">
        <v>7929539</v>
      </c>
    </row>
    <row r="99" spans="1:19" ht="285" x14ac:dyDescent="0.25">
      <c r="A99" s="93"/>
      <c r="B99" s="110"/>
      <c r="C99" s="94"/>
      <c r="D99" s="102"/>
      <c r="E99" s="81" t="s">
        <v>22</v>
      </c>
      <c r="F99" s="10" t="s">
        <v>55</v>
      </c>
      <c r="G99" s="10" t="s">
        <v>23</v>
      </c>
      <c r="H99" s="10" t="s">
        <v>27</v>
      </c>
      <c r="I99" s="11" t="s">
        <v>55</v>
      </c>
      <c r="J99" s="10" t="s">
        <v>28</v>
      </c>
      <c r="K99" s="10" t="s">
        <v>179</v>
      </c>
      <c r="L99" s="4"/>
      <c r="M99" s="10" t="s">
        <v>180</v>
      </c>
      <c r="N99" s="277"/>
      <c r="O99" s="277"/>
      <c r="P99" s="277"/>
      <c r="Q99" s="277"/>
      <c r="R99" s="277"/>
      <c r="S99" s="277"/>
    </row>
    <row r="100" spans="1:19" ht="409.5" x14ac:dyDescent="0.25">
      <c r="A100" s="12">
        <v>2624</v>
      </c>
      <c r="B100" s="10" t="s">
        <v>461</v>
      </c>
      <c r="C100" s="12">
        <v>906</v>
      </c>
      <c r="D100" s="21" t="s">
        <v>181</v>
      </c>
      <c r="E100" s="10" t="s">
        <v>69</v>
      </c>
      <c r="F100" s="10" t="s">
        <v>188</v>
      </c>
      <c r="G100" s="10" t="s">
        <v>71</v>
      </c>
      <c r="H100" s="10" t="s">
        <v>486</v>
      </c>
      <c r="I100" s="10" t="s">
        <v>224</v>
      </c>
      <c r="J100" s="10" t="s">
        <v>487</v>
      </c>
      <c r="K100" s="225" t="s">
        <v>488</v>
      </c>
      <c r="L100" s="4"/>
      <c r="M100" s="166" t="s">
        <v>489</v>
      </c>
      <c r="N100" s="241">
        <v>22217682</v>
      </c>
      <c r="O100" s="241">
        <v>19526152.399999999</v>
      </c>
      <c r="P100" s="241">
        <v>59338639</v>
      </c>
      <c r="Q100" s="241">
        <v>63687487</v>
      </c>
      <c r="R100" s="241">
        <v>60788188</v>
      </c>
      <c r="S100" s="241">
        <v>17297089</v>
      </c>
    </row>
    <row r="101" spans="1:19" s="23" customFormat="1" ht="156.75" x14ac:dyDescent="0.2">
      <c r="A101" s="16">
        <v>3200</v>
      </c>
      <c r="B101" s="17" t="s">
        <v>416</v>
      </c>
      <c r="C101" s="24"/>
      <c r="D101" s="26"/>
      <c r="E101" s="17"/>
      <c r="F101" s="17"/>
      <c r="G101" s="17"/>
      <c r="H101" s="17"/>
      <c r="I101" s="17"/>
      <c r="J101" s="17"/>
      <c r="K101" s="17"/>
      <c r="L101" s="17"/>
      <c r="M101" s="17"/>
      <c r="N101" s="43">
        <f>SUM(N102:N109)</f>
        <v>46985400</v>
      </c>
      <c r="O101" s="43">
        <f t="shared" ref="O101:S101" si="17">SUM(O102:O109)</f>
        <v>43480804.030000001</v>
      </c>
      <c r="P101" s="43">
        <f t="shared" si="17"/>
        <v>68657700</v>
      </c>
      <c r="Q101" s="43">
        <f t="shared" si="17"/>
        <v>64855900</v>
      </c>
      <c r="R101" s="43">
        <f t="shared" si="17"/>
        <v>70739200</v>
      </c>
      <c r="S101" s="43">
        <f t="shared" si="17"/>
        <v>66677100</v>
      </c>
    </row>
    <row r="102" spans="1:19" ht="270" x14ac:dyDescent="0.25">
      <c r="A102" s="12">
        <v>3237</v>
      </c>
      <c r="B102" s="10" t="s">
        <v>187</v>
      </c>
      <c r="C102" s="12">
        <v>906</v>
      </c>
      <c r="D102" s="21" t="s">
        <v>181</v>
      </c>
      <c r="E102" s="10" t="s">
        <v>69</v>
      </c>
      <c r="F102" s="10" t="s">
        <v>188</v>
      </c>
      <c r="G102" s="10" t="s">
        <v>71</v>
      </c>
      <c r="H102" s="10" t="s">
        <v>189</v>
      </c>
      <c r="I102" s="10" t="s">
        <v>190</v>
      </c>
      <c r="J102" s="10" t="s">
        <v>191</v>
      </c>
      <c r="K102" s="10" t="s">
        <v>192</v>
      </c>
      <c r="L102" s="10"/>
      <c r="M102" s="10" t="s">
        <v>193</v>
      </c>
      <c r="N102" s="39">
        <v>32141500</v>
      </c>
      <c r="O102" s="39">
        <v>29146163.579999998</v>
      </c>
      <c r="P102" s="39">
        <v>31868500</v>
      </c>
      <c r="Q102" s="39">
        <v>28066700</v>
      </c>
      <c r="R102" s="39">
        <v>33950000</v>
      </c>
      <c r="S102" s="39">
        <v>29986900</v>
      </c>
    </row>
    <row r="103" spans="1:19" ht="90" x14ac:dyDescent="0.25">
      <c r="A103" s="12"/>
      <c r="B103" s="10"/>
      <c r="C103" s="12"/>
      <c r="D103" s="21"/>
      <c r="E103" s="10"/>
      <c r="F103" s="10"/>
      <c r="G103" s="10"/>
      <c r="H103" s="10"/>
      <c r="I103" s="10"/>
      <c r="J103" s="10"/>
      <c r="K103" s="6" t="s">
        <v>432</v>
      </c>
      <c r="L103" s="4"/>
      <c r="M103" s="9" t="s">
        <v>433</v>
      </c>
      <c r="N103" s="162"/>
      <c r="O103" s="162"/>
      <c r="P103" s="162"/>
      <c r="Q103" s="162"/>
      <c r="R103" s="162"/>
      <c r="S103" s="162"/>
    </row>
    <row r="104" spans="1:19" ht="195" x14ac:dyDescent="0.25">
      <c r="A104" s="12"/>
      <c r="B104" s="10"/>
      <c r="C104" s="12"/>
      <c r="D104" s="21"/>
      <c r="E104" s="10"/>
      <c r="F104" s="10"/>
      <c r="G104" s="10"/>
      <c r="H104" s="10"/>
      <c r="I104" s="10"/>
      <c r="J104" s="10"/>
      <c r="K104" s="225" t="s">
        <v>462</v>
      </c>
      <c r="L104" s="4"/>
      <c r="M104" s="166" t="s">
        <v>463</v>
      </c>
      <c r="N104" s="193"/>
      <c r="O104" s="193"/>
      <c r="P104" s="193"/>
      <c r="Q104" s="193"/>
      <c r="R104" s="193"/>
      <c r="S104" s="193"/>
    </row>
    <row r="105" spans="1:19" ht="195" x14ac:dyDescent="0.25">
      <c r="A105" s="12"/>
      <c r="B105" s="10"/>
      <c r="C105" s="12"/>
      <c r="D105" s="21"/>
      <c r="E105" s="10"/>
      <c r="F105" s="10"/>
      <c r="G105" s="10"/>
      <c r="H105" s="10"/>
      <c r="I105" s="10"/>
      <c r="J105" s="10"/>
      <c r="K105" s="225" t="s">
        <v>464</v>
      </c>
      <c r="L105" s="4"/>
      <c r="M105" s="166" t="s">
        <v>463</v>
      </c>
      <c r="N105" s="193"/>
      <c r="O105" s="193"/>
      <c r="P105" s="193"/>
      <c r="Q105" s="193"/>
      <c r="R105" s="193"/>
      <c r="S105" s="193"/>
    </row>
    <row r="106" spans="1:19" ht="409.5" x14ac:dyDescent="0.25">
      <c r="A106" s="12">
        <v>3236</v>
      </c>
      <c r="B106" s="10" t="s">
        <v>194</v>
      </c>
      <c r="C106" s="12">
        <v>906</v>
      </c>
      <c r="D106" s="21" t="s">
        <v>206</v>
      </c>
      <c r="E106" s="10" t="s">
        <v>69</v>
      </c>
      <c r="F106" s="10" t="s">
        <v>195</v>
      </c>
      <c r="G106" s="10" t="s">
        <v>71</v>
      </c>
      <c r="H106" s="10" t="s">
        <v>196</v>
      </c>
      <c r="I106" s="10" t="s">
        <v>190</v>
      </c>
      <c r="J106" s="10" t="s">
        <v>197</v>
      </c>
      <c r="K106" s="10" t="s">
        <v>198</v>
      </c>
      <c r="L106" s="10"/>
      <c r="M106" s="10" t="s">
        <v>199</v>
      </c>
      <c r="N106" s="163">
        <v>1429000</v>
      </c>
      <c r="O106" s="163">
        <v>1263881.1599999999</v>
      </c>
      <c r="P106" s="163">
        <v>3042700</v>
      </c>
      <c r="Q106" s="163">
        <v>3042700</v>
      </c>
      <c r="R106" s="163">
        <v>3042700</v>
      </c>
      <c r="S106" s="163">
        <v>3042700</v>
      </c>
    </row>
    <row r="107" spans="1:19" ht="300" x14ac:dyDescent="0.25">
      <c r="A107" s="195">
        <v>3237</v>
      </c>
      <c r="B107" s="194" t="s">
        <v>200</v>
      </c>
      <c r="C107" s="195">
        <v>906</v>
      </c>
      <c r="D107" s="197" t="s">
        <v>131</v>
      </c>
      <c r="E107" s="194" t="s">
        <v>69</v>
      </c>
      <c r="F107" s="194" t="s">
        <v>201</v>
      </c>
      <c r="G107" s="194" t="s">
        <v>71</v>
      </c>
      <c r="H107" s="194" t="s">
        <v>202</v>
      </c>
      <c r="I107" s="194" t="s">
        <v>55</v>
      </c>
      <c r="J107" s="194" t="s">
        <v>203</v>
      </c>
      <c r="K107" s="10" t="s">
        <v>204</v>
      </c>
      <c r="L107" s="10"/>
      <c r="M107" s="10" t="s">
        <v>205</v>
      </c>
      <c r="N107" s="196">
        <v>4903200</v>
      </c>
      <c r="O107" s="196">
        <v>4675944.4800000004</v>
      </c>
      <c r="P107" s="50">
        <v>9505900</v>
      </c>
      <c r="Q107" s="50">
        <v>9505900</v>
      </c>
      <c r="R107" s="196">
        <v>9505900</v>
      </c>
      <c r="S107" s="196">
        <v>9505900</v>
      </c>
    </row>
    <row r="108" spans="1:19" ht="210" x14ac:dyDescent="0.25">
      <c r="A108" s="88">
        <v>3237</v>
      </c>
      <c r="B108" s="87" t="s">
        <v>407</v>
      </c>
      <c r="C108" s="88">
        <v>906</v>
      </c>
      <c r="D108" s="89" t="s">
        <v>301</v>
      </c>
      <c r="E108" s="10" t="s">
        <v>69</v>
      </c>
      <c r="F108" s="10" t="s">
        <v>210</v>
      </c>
      <c r="G108" s="10" t="s">
        <v>71</v>
      </c>
      <c r="H108" s="88"/>
      <c r="I108" s="88"/>
      <c r="J108" s="88"/>
      <c r="K108" s="220" t="s">
        <v>437</v>
      </c>
      <c r="L108" s="10"/>
      <c r="M108" s="10" t="s">
        <v>438</v>
      </c>
      <c r="N108" s="86">
        <v>0</v>
      </c>
      <c r="O108" s="86">
        <v>0</v>
      </c>
      <c r="P108" s="86">
        <v>14931500</v>
      </c>
      <c r="Q108" s="86">
        <v>14931500</v>
      </c>
      <c r="R108" s="86">
        <v>14931500</v>
      </c>
      <c r="S108" s="86">
        <v>14832500</v>
      </c>
    </row>
    <row r="109" spans="1:19" ht="225" x14ac:dyDescent="0.25">
      <c r="A109" s="12">
        <v>3237</v>
      </c>
      <c r="B109" s="10" t="s">
        <v>388</v>
      </c>
      <c r="C109" s="12">
        <v>906</v>
      </c>
      <c r="D109" s="21" t="s">
        <v>209</v>
      </c>
      <c r="E109" s="10" t="s">
        <v>69</v>
      </c>
      <c r="F109" s="10" t="s">
        <v>210</v>
      </c>
      <c r="G109" s="10" t="s">
        <v>71</v>
      </c>
      <c r="H109" s="10" t="s">
        <v>211</v>
      </c>
      <c r="I109" s="10" t="s">
        <v>55</v>
      </c>
      <c r="J109" s="10" t="s">
        <v>28</v>
      </c>
      <c r="K109" s="10" t="s">
        <v>212</v>
      </c>
      <c r="L109" s="10"/>
      <c r="M109" s="10" t="s">
        <v>213</v>
      </c>
      <c r="N109" s="39">
        <v>8511700</v>
      </c>
      <c r="O109" s="39">
        <v>8394814.8100000005</v>
      </c>
      <c r="P109" s="39">
        <v>9309100</v>
      </c>
      <c r="Q109" s="39">
        <v>9309100</v>
      </c>
      <c r="R109" s="39">
        <v>9309100</v>
      </c>
      <c r="S109" s="39">
        <v>9309100</v>
      </c>
    </row>
    <row r="110" spans="1:19" s="23" customFormat="1" ht="71.25" x14ac:dyDescent="0.2">
      <c r="A110" s="85">
        <v>3400</v>
      </c>
      <c r="B110" s="28" t="s">
        <v>537</v>
      </c>
      <c r="C110" s="85"/>
      <c r="D110" s="79"/>
      <c r="E110" s="17"/>
      <c r="F110" s="17"/>
      <c r="G110" s="17"/>
      <c r="H110" s="28"/>
      <c r="I110" s="28"/>
      <c r="J110" s="28"/>
      <c r="K110" s="17"/>
      <c r="L110" s="17"/>
      <c r="M110" s="17"/>
      <c r="N110" s="127">
        <f>N111+N113+N115</f>
        <v>900281405</v>
      </c>
      <c r="O110" s="127">
        <f t="shared" ref="O110:S110" si="18">O111+O113+O115</f>
        <v>900192737.22000003</v>
      </c>
      <c r="P110" s="127">
        <f t="shared" si="18"/>
        <v>922629470</v>
      </c>
      <c r="Q110" s="127">
        <f t="shared" si="18"/>
        <v>917429800</v>
      </c>
      <c r="R110" s="127">
        <f t="shared" si="18"/>
        <v>917429800</v>
      </c>
      <c r="S110" s="127">
        <f t="shared" si="18"/>
        <v>917429800</v>
      </c>
    </row>
    <row r="111" spans="1:19" ht="255" x14ac:dyDescent="0.25">
      <c r="A111" s="278">
        <v>3401</v>
      </c>
      <c r="B111" s="280" t="s">
        <v>539</v>
      </c>
      <c r="C111" s="278">
        <v>906</v>
      </c>
      <c r="D111" s="282" t="s">
        <v>181</v>
      </c>
      <c r="E111" s="10" t="s">
        <v>69</v>
      </c>
      <c r="F111" s="10" t="s">
        <v>182</v>
      </c>
      <c r="G111" s="10" t="s">
        <v>71</v>
      </c>
      <c r="H111" s="280"/>
      <c r="I111" s="280"/>
      <c r="J111" s="280"/>
      <c r="K111" s="10" t="s">
        <v>186</v>
      </c>
      <c r="L111" s="10"/>
      <c r="M111" s="10" t="s">
        <v>95</v>
      </c>
      <c r="N111" s="276">
        <f>64108300+389337400+19310500</f>
        <v>472756200</v>
      </c>
      <c r="O111" s="276">
        <f>64108300+389313977.9+19245254.32</f>
        <v>472667532.21999997</v>
      </c>
      <c r="P111" s="241">
        <f>394779800+68483030</f>
        <v>463262830</v>
      </c>
      <c r="Q111" s="241">
        <f>67991200+394779800</f>
        <v>462771000</v>
      </c>
      <c r="R111" s="276">
        <f>67991200+394779800</f>
        <v>462771000</v>
      </c>
      <c r="S111" s="276">
        <v>462771000</v>
      </c>
    </row>
    <row r="112" spans="1:19" ht="60" x14ac:dyDescent="0.25">
      <c r="A112" s="279"/>
      <c r="B112" s="281"/>
      <c r="C112" s="279"/>
      <c r="D112" s="283"/>
      <c r="E112" s="9" t="s">
        <v>183</v>
      </c>
      <c r="F112" s="10" t="s">
        <v>184</v>
      </c>
      <c r="G112" s="10" t="s">
        <v>185</v>
      </c>
      <c r="H112" s="281"/>
      <c r="I112" s="281"/>
      <c r="J112" s="281"/>
      <c r="K112" s="6"/>
      <c r="L112" s="4"/>
      <c r="M112" s="9"/>
      <c r="N112" s="277"/>
      <c r="O112" s="277"/>
      <c r="P112" s="242"/>
      <c r="Q112" s="242"/>
      <c r="R112" s="277"/>
      <c r="S112" s="277"/>
    </row>
    <row r="113" spans="1:19" ht="225" x14ac:dyDescent="0.25">
      <c r="A113" s="278">
        <v>3403</v>
      </c>
      <c r="B113" s="280" t="s">
        <v>538</v>
      </c>
      <c r="C113" s="278">
        <v>906</v>
      </c>
      <c r="D113" s="282" t="s">
        <v>206</v>
      </c>
      <c r="E113" s="10" t="s">
        <v>69</v>
      </c>
      <c r="F113" s="10" t="s">
        <v>201</v>
      </c>
      <c r="G113" s="10" t="s">
        <v>71</v>
      </c>
      <c r="H113" s="278"/>
      <c r="I113" s="278"/>
      <c r="J113" s="278"/>
      <c r="K113" s="10" t="s">
        <v>207</v>
      </c>
      <c r="L113" s="10"/>
      <c r="M113" s="10" t="s">
        <v>208</v>
      </c>
      <c r="N113" s="276">
        <f>118075945+309449260</f>
        <v>427525205</v>
      </c>
      <c r="O113" s="276">
        <f>309449260+118075945</f>
        <v>427525205</v>
      </c>
      <c r="P113" s="241">
        <f>133489340+305366900</f>
        <v>438856240</v>
      </c>
      <c r="Q113" s="241">
        <f>302823100+131325300</f>
        <v>434148400</v>
      </c>
      <c r="R113" s="276">
        <v>434148400</v>
      </c>
      <c r="S113" s="276">
        <v>434148400</v>
      </c>
    </row>
    <row r="114" spans="1:19" ht="60" x14ac:dyDescent="0.25">
      <c r="A114" s="279"/>
      <c r="B114" s="281"/>
      <c r="C114" s="279"/>
      <c r="D114" s="283"/>
      <c r="E114" s="10" t="s">
        <v>183</v>
      </c>
      <c r="F114" s="10" t="s">
        <v>184</v>
      </c>
      <c r="G114" s="10" t="s">
        <v>185</v>
      </c>
      <c r="H114" s="279"/>
      <c r="I114" s="279"/>
      <c r="J114" s="279"/>
      <c r="K114" s="10"/>
      <c r="L114" s="10"/>
      <c r="M114" s="10"/>
      <c r="N114" s="277"/>
      <c r="O114" s="277"/>
      <c r="P114" s="242"/>
      <c r="Q114" s="242"/>
      <c r="R114" s="277"/>
      <c r="S114" s="277"/>
    </row>
    <row r="115" spans="1:19" ht="315" x14ac:dyDescent="0.25">
      <c r="A115" s="12">
        <v>3404</v>
      </c>
      <c r="B115" s="256" t="s">
        <v>540</v>
      </c>
      <c r="C115" s="12">
        <v>906</v>
      </c>
      <c r="D115" s="21" t="s">
        <v>299</v>
      </c>
      <c r="E115" s="10" t="s">
        <v>69</v>
      </c>
      <c r="F115" s="10" t="s">
        <v>182</v>
      </c>
      <c r="G115" s="10" t="s">
        <v>71</v>
      </c>
      <c r="H115" s="10"/>
      <c r="I115" s="10"/>
      <c r="J115" s="10"/>
      <c r="K115" s="10" t="s">
        <v>186</v>
      </c>
      <c r="L115" s="10"/>
      <c r="M115" s="10" t="s">
        <v>95</v>
      </c>
      <c r="N115" s="39"/>
      <c r="O115" s="39"/>
      <c r="P115" s="39">
        <v>20510400</v>
      </c>
      <c r="Q115" s="39">
        <v>20510400</v>
      </c>
      <c r="R115" s="39">
        <v>20510400</v>
      </c>
      <c r="S115" s="39">
        <v>20510400</v>
      </c>
    </row>
    <row r="116" spans="1:19" s="23" customFormat="1" x14ac:dyDescent="0.2">
      <c r="A116" s="33"/>
      <c r="B116" s="262"/>
      <c r="C116" s="33">
        <v>908</v>
      </c>
      <c r="D116" s="34"/>
      <c r="E116" s="32"/>
      <c r="F116" s="32"/>
      <c r="G116" s="32"/>
      <c r="H116" s="32"/>
      <c r="I116" s="32"/>
      <c r="J116" s="32"/>
      <c r="K116" s="32"/>
      <c r="L116" s="32"/>
      <c r="M116" s="32"/>
      <c r="N116" s="41">
        <f>N117</f>
        <v>437600</v>
      </c>
      <c r="O116" s="41">
        <f t="shared" ref="O116:S116" si="19">O117</f>
        <v>437547.7</v>
      </c>
      <c r="P116" s="41">
        <f t="shared" si="19"/>
        <v>0</v>
      </c>
      <c r="Q116" s="41">
        <f t="shared" si="19"/>
        <v>0</v>
      </c>
      <c r="R116" s="41">
        <f t="shared" si="19"/>
        <v>0</v>
      </c>
      <c r="S116" s="41">
        <f t="shared" si="19"/>
        <v>0</v>
      </c>
    </row>
    <row r="117" spans="1:19" s="23" customFormat="1" ht="114" x14ac:dyDescent="0.2">
      <c r="A117" s="85">
        <v>2600</v>
      </c>
      <c r="B117" s="28" t="s">
        <v>543</v>
      </c>
      <c r="C117" s="85"/>
      <c r="D117" s="79"/>
      <c r="E117" s="28"/>
      <c r="F117" s="28"/>
      <c r="G117" s="28"/>
      <c r="H117" s="28"/>
      <c r="I117" s="28"/>
      <c r="J117" s="28"/>
      <c r="K117" s="17"/>
      <c r="L117" s="17"/>
      <c r="M117" s="17"/>
      <c r="N117" s="127">
        <f>N118</f>
        <v>437600</v>
      </c>
      <c r="O117" s="127">
        <f t="shared" ref="O117:S117" si="20">O118</f>
        <v>437547.7</v>
      </c>
      <c r="P117" s="127">
        <f t="shared" si="20"/>
        <v>0</v>
      </c>
      <c r="Q117" s="127">
        <f t="shared" si="20"/>
        <v>0</v>
      </c>
      <c r="R117" s="127">
        <f t="shared" si="20"/>
        <v>0</v>
      </c>
      <c r="S117" s="127">
        <f t="shared" si="20"/>
        <v>0</v>
      </c>
    </row>
    <row r="118" spans="1:19" ht="90" x14ac:dyDescent="0.25">
      <c r="A118" s="125">
        <v>2601</v>
      </c>
      <c r="B118" s="109" t="s">
        <v>382</v>
      </c>
      <c r="C118" s="125">
        <v>908</v>
      </c>
      <c r="D118" s="128" t="s">
        <v>360</v>
      </c>
      <c r="E118" s="221" t="s">
        <v>20</v>
      </c>
      <c r="F118" s="109" t="s">
        <v>418</v>
      </c>
      <c r="G118" s="109" t="s">
        <v>99</v>
      </c>
      <c r="H118" s="109"/>
      <c r="I118" s="109"/>
      <c r="J118" s="124"/>
      <c r="K118" s="81" t="s">
        <v>29</v>
      </c>
      <c r="L118" s="10"/>
      <c r="M118" s="74" t="s">
        <v>30</v>
      </c>
      <c r="N118" s="75">
        <v>437600</v>
      </c>
      <c r="O118" s="75">
        <v>437547.7</v>
      </c>
      <c r="P118" s="75">
        <v>0</v>
      </c>
      <c r="Q118" s="75">
        <v>0</v>
      </c>
      <c r="R118" s="75"/>
      <c r="S118" s="123"/>
    </row>
    <row r="119" spans="1:19" s="23" customFormat="1" ht="57" x14ac:dyDescent="0.2">
      <c r="A119" s="33"/>
      <c r="B119" s="32" t="s">
        <v>214</v>
      </c>
      <c r="C119" s="33">
        <v>909</v>
      </c>
      <c r="D119" s="34"/>
      <c r="E119" s="32"/>
      <c r="F119" s="32"/>
      <c r="G119" s="32"/>
      <c r="H119" s="32"/>
      <c r="I119" s="32"/>
      <c r="J119" s="32"/>
      <c r="K119" s="32"/>
      <c r="L119" s="32"/>
      <c r="M119" s="32"/>
      <c r="N119" s="41">
        <f t="shared" ref="N119:S119" si="21">N120+N150+N155</f>
        <v>454958453.68000007</v>
      </c>
      <c r="O119" s="41">
        <f t="shared" si="21"/>
        <v>425846307.72000009</v>
      </c>
      <c r="P119" s="41">
        <f t="shared" si="21"/>
        <v>605518579.56999993</v>
      </c>
      <c r="Q119" s="41">
        <f t="shared" si="21"/>
        <v>334352830</v>
      </c>
      <c r="R119" s="41">
        <f t="shared" si="21"/>
        <v>316043416</v>
      </c>
      <c r="S119" s="41">
        <f t="shared" si="21"/>
        <v>283663216</v>
      </c>
    </row>
    <row r="120" spans="1:19" s="23" customFormat="1" ht="57" x14ac:dyDescent="0.2">
      <c r="A120" s="112">
        <v>2500</v>
      </c>
      <c r="B120" s="121" t="s">
        <v>542</v>
      </c>
      <c r="C120" s="17"/>
      <c r="D120" s="26"/>
      <c r="E120" s="17"/>
      <c r="F120" s="17"/>
      <c r="G120" s="17"/>
      <c r="H120" s="17"/>
      <c r="I120" s="17"/>
      <c r="J120" s="17"/>
      <c r="K120" s="17"/>
      <c r="L120" s="17"/>
      <c r="M120" s="17"/>
      <c r="N120" s="40">
        <f t="shared" ref="N120:S120" si="22">N121+N124+N128+N130+N134+N137+N140+N142+N145+N132</f>
        <v>411920479.27000004</v>
      </c>
      <c r="O120" s="40">
        <f t="shared" si="22"/>
        <v>390449165.91000009</v>
      </c>
      <c r="P120" s="40">
        <f t="shared" si="22"/>
        <v>541592794.56999993</v>
      </c>
      <c r="Q120" s="40">
        <f t="shared" si="22"/>
        <v>249069745</v>
      </c>
      <c r="R120" s="40">
        <f t="shared" si="22"/>
        <v>232760326</v>
      </c>
      <c r="S120" s="40">
        <f t="shared" si="22"/>
        <v>198452926</v>
      </c>
    </row>
    <row r="121" spans="1:19" ht="90" x14ac:dyDescent="0.25">
      <c r="A121" s="278">
        <v>2505</v>
      </c>
      <c r="B121" s="280" t="s">
        <v>218</v>
      </c>
      <c r="C121" s="278">
        <v>909</v>
      </c>
      <c r="D121" s="282" t="s">
        <v>434</v>
      </c>
      <c r="E121" s="199" t="s">
        <v>20</v>
      </c>
      <c r="F121" s="199" t="s">
        <v>220</v>
      </c>
      <c r="G121" s="199" t="s">
        <v>99</v>
      </c>
      <c r="H121" s="346" t="s">
        <v>223</v>
      </c>
      <c r="I121" s="199" t="s">
        <v>224</v>
      </c>
      <c r="J121" s="199" t="s">
        <v>225</v>
      </c>
      <c r="K121" s="10" t="s">
        <v>29</v>
      </c>
      <c r="L121" s="10" t="s">
        <v>226</v>
      </c>
      <c r="M121" s="10" t="s">
        <v>38</v>
      </c>
      <c r="N121" s="276">
        <f>185275+12580972+1548257+200000+569877</f>
        <v>15084381</v>
      </c>
      <c r="O121" s="276">
        <f>185275+12518067.14+1548257+200000+569877</f>
        <v>15021476.140000001</v>
      </c>
      <c r="P121" s="50">
        <f>300000+400000+852456+495668+1500000</f>
        <v>3548124</v>
      </c>
      <c r="Q121" s="50">
        <v>0</v>
      </c>
      <c r="R121" s="276">
        <v>0</v>
      </c>
      <c r="S121" s="276">
        <v>0</v>
      </c>
    </row>
    <row r="122" spans="1:19" ht="75" x14ac:dyDescent="0.25">
      <c r="A122" s="289"/>
      <c r="B122" s="297"/>
      <c r="C122" s="289"/>
      <c r="D122" s="313"/>
      <c r="E122" s="227"/>
      <c r="F122" s="227"/>
      <c r="G122" s="227"/>
      <c r="H122" s="347"/>
      <c r="I122" s="227"/>
      <c r="J122" s="227"/>
      <c r="K122" s="10" t="s">
        <v>495</v>
      </c>
      <c r="L122" s="10"/>
      <c r="M122" s="10" t="s">
        <v>494</v>
      </c>
      <c r="N122" s="284"/>
      <c r="O122" s="284"/>
      <c r="P122" s="222"/>
      <c r="Q122" s="222"/>
      <c r="R122" s="284"/>
      <c r="S122" s="284"/>
    </row>
    <row r="123" spans="1:19" ht="90" x14ac:dyDescent="0.25">
      <c r="A123" s="289"/>
      <c r="B123" s="297"/>
      <c r="C123" s="289"/>
      <c r="D123" s="290"/>
      <c r="E123" s="200" t="s">
        <v>221</v>
      </c>
      <c r="F123" s="200" t="s">
        <v>222</v>
      </c>
      <c r="G123" s="200" t="s">
        <v>197</v>
      </c>
      <c r="H123" s="200"/>
      <c r="I123" s="200"/>
      <c r="J123" s="200"/>
      <c r="K123" s="10" t="s">
        <v>519</v>
      </c>
      <c r="L123" s="10"/>
      <c r="M123" s="10" t="s">
        <v>520</v>
      </c>
      <c r="N123" s="284"/>
      <c r="O123" s="284"/>
      <c r="P123" s="52"/>
      <c r="Q123" s="52"/>
      <c r="R123" s="284"/>
      <c r="S123" s="284"/>
    </row>
    <row r="124" spans="1:19" ht="135" x14ac:dyDescent="0.25">
      <c r="A124" s="278">
        <v>2507</v>
      </c>
      <c r="B124" s="280" t="s">
        <v>227</v>
      </c>
      <c r="C124" s="278">
        <v>909</v>
      </c>
      <c r="D124" s="282" t="s">
        <v>228</v>
      </c>
      <c r="E124" s="10" t="s">
        <v>229</v>
      </c>
      <c r="F124" s="10" t="s">
        <v>230</v>
      </c>
      <c r="G124" s="10" t="s">
        <v>231</v>
      </c>
      <c r="H124" s="10" t="s">
        <v>232</v>
      </c>
      <c r="I124" s="10" t="s">
        <v>55</v>
      </c>
      <c r="J124" s="10" t="s">
        <v>233</v>
      </c>
      <c r="K124" s="10" t="s">
        <v>29</v>
      </c>
      <c r="L124" s="10" t="s">
        <v>238</v>
      </c>
      <c r="M124" s="10" t="s">
        <v>30</v>
      </c>
      <c r="N124" s="276">
        <f>149081980+250000</f>
        <v>149331980</v>
      </c>
      <c r="O124" s="276">
        <f>148510035.42+250000</f>
        <v>148760035.41999999</v>
      </c>
      <c r="P124" s="276">
        <f>106805593.31+50000</f>
        <v>106855593.31</v>
      </c>
      <c r="Q124" s="276">
        <v>104275133</v>
      </c>
      <c r="R124" s="276">
        <v>105861508</v>
      </c>
      <c r="S124" s="276">
        <v>105861508</v>
      </c>
    </row>
    <row r="125" spans="1:19" ht="60" x14ac:dyDescent="0.25">
      <c r="A125" s="289"/>
      <c r="B125" s="297"/>
      <c r="C125" s="289"/>
      <c r="D125" s="290"/>
      <c r="E125" s="10"/>
      <c r="F125" s="10"/>
      <c r="G125" s="10"/>
      <c r="H125" s="10"/>
      <c r="I125" s="10"/>
      <c r="J125" s="10"/>
      <c r="K125" s="10" t="s">
        <v>236</v>
      </c>
      <c r="L125" s="10"/>
      <c r="M125" s="10" t="s">
        <v>237</v>
      </c>
      <c r="N125" s="284"/>
      <c r="O125" s="284"/>
      <c r="P125" s="284"/>
      <c r="Q125" s="284"/>
      <c r="R125" s="284"/>
      <c r="S125" s="284"/>
    </row>
    <row r="126" spans="1:19" ht="105" x14ac:dyDescent="0.25">
      <c r="A126" s="289"/>
      <c r="B126" s="297"/>
      <c r="C126" s="289"/>
      <c r="D126" s="290"/>
      <c r="E126" s="10"/>
      <c r="F126" s="10"/>
      <c r="G126" s="10"/>
      <c r="H126" s="10"/>
      <c r="I126" s="10"/>
      <c r="J126" s="10"/>
      <c r="K126" s="10" t="s">
        <v>234</v>
      </c>
      <c r="L126" s="10"/>
      <c r="M126" s="10" t="s">
        <v>235</v>
      </c>
      <c r="N126" s="284"/>
      <c r="O126" s="284"/>
      <c r="P126" s="284"/>
      <c r="Q126" s="284"/>
      <c r="R126" s="284"/>
      <c r="S126" s="284"/>
    </row>
    <row r="127" spans="1:19" ht="150" x14ac:dyDescent="0.25">
      <c r="A127" s="279"/>
      <c r="B127" s="281"/>
      <c r="C127" s="279"/>
      <c r="D127" s="283"/>
      <c r="E127" s="10"/>
      <c r="F127" s="10"/>
      <c r="G127" s="10"/>
      <c r="H127" s="10"/>
      <c r="I127" s="10"/>
      <c r="J127" s="10"/>
      <c r="K127" s="10" t="s">
        <v>555</v>
      </c>
      <c r="L127" s="10"/>
      <c r="M127" s="10" t="s">
        <v>556</v>
      </c>
      <c r="N127" s="277"/>
      <c r="O127" s="277"/>
      <c r="P127" s="277"/>
      <c r="Q127" s="277"/>
      <c r="R127" s="277"/>
      <c r="S127" s="277"/>
    </row>
    <row r="128" spans="1:19" ht="240" x14ac:dyDescent="0.25">
      <c r="A128" s="278">
        <v>2508</v>
      </c>
      <c r="B128" s="280" t="s">
        <v>45</v>
      </c>
      <c r="C128" s="278">
        <v>909</v>
      </c>
      <c r="D128" s="282" t="s">
        <v>120</v>
      </c>
      <c r="E128" s="10" t="s">
        <v>20</v>
      </c>
      <c r="F128" s="10" t="s">
        <v>239</v>
      </c>
      <c r="G128" s="10" t="s">
        <v>99</v>
      </c>
      <c r="H128" s="10"/>
      <c r="I128" s="10"/>
      <c r="J128" s="10"/>
      <c r="K128" s="73" t="s">
        <v>525</v>
      </c>
      <c r="L128" s="10"/>
      <c r="M128" s="10" t="s">
        <v>526</v>
      </c>
      <c r="N128" s="285">
        <f>83095832.92-1887979.18</f>
        <v>81207853.739999995</v>
      </c>
      <c r="O128" s="285">
        <f>68085504.84-1887979.18</f>
        <v>66197525.660000004</v>
      </c>
      <c r="P128" s="276">
        <f>184930383.26-9645773.91</f>
        <v>175284609.34999999</v>
      </c>
      <c r="Q128" s="50">
        <v>0</v>
      </c>
      <c r="R128" s="276">
        <v>0</v>
      </c>
      <c r="S128" s="276">
        <v>0</v>
      </c>
    </row>
    <row r="129" spans="1:19" ht="45" x14ac:dyDescent="0.25">
      <c r="A129" s="279"/>
      <c r="B129" s="281"/>
      <c r="C129" s="279"/>
      <c r="D129" s="283"/>
      <c r="E129" s="10"/>
      <c r="F129" s="10"/>
      <c r="G129" s="10"/>
      <c r="H129" s="10"/>
      <c r="I129" s="10"/>
      <c r="J129" s="10"/>
      <c r="K129" s="10" t="s">
        <v>29</v>
      </c>
      <c r="L129" s="10" t="s">
        <v>122</v>
      </c>
      <c r="M129" s="10" t="s">
        <v>30</v>
      </c>
      <c r="N129" s="286"/>
      <c r="O129" s="286"/>
      <c r="P129" s="277"/>
      <c r="Q129" s="51"/>
      <c r="R129" s="277"/>
      <c r="S129" s="277"/>
    </row>
    <row r="130" spans="1:19" ht="225" x14ac:dyDescent="0.25">
      <c r="A130" s="278">
        <v>2511</v>
      </c>
      <c r="B130" s="280" t="s">
        <v>240</v>
      </c>
      <c r="C130" s="278">
        <v>909</v>
      </c>
      <c r="D130" s="282" t="s">
        <v>241</v>
      </c>
      <c r="E130" s="10" t="s">
        <v>20</v>
      </c>
      <c r="F130" s="10" t="s">
        <v>242</v>
      </c>
      <c r="G130" s="10" t="s">
        <v>99</v>
      </c>
      <c r="H130" s="10" t="s">
        <v>243</v>
      </c>
      <c r="I130" s="10" t="s">
        <v>55</v>
      </c>
      <c r="J130" s="10" t="s">
        <v>244</v>
      </c>
      <c r="K130" s="10" t="s">
        <v>248</v>
      </c>
      <c r="L130" s="10"/>
      <c r="M130" s="10" t="s">
        <v>249</v>
      </c>
      <c r="N130" s="276">
        <v>62279081.939999998</v>
      </c>
      <c r="O130" s="276">
        <v>56853672.140000001</v>
      </c>
      <c r="P130" s="276">
        <v>58314005</v>
      </c>
      <c r="Q130" s="276">
        <v>55962969</v>
      </c>
      <c r="R130" s="276">
        <v>43067175</v>
      </c>
      <c r="S130" s="276">
        <v>43067175</v>
      </c>
    </row>
    <row r="131" spans="1:19" ht="90" x14ac:dyDescent="0.25">
      <c r="A131" s="279"/>
      <c r="B131" s="281"/>
      <c r="C131" s="279"/>
      <c r="D131" s="283"/>
      <c r="E131" s="10"/>
      <c r="F131" s="10"/>
      <c r="G131" s="10"/>
      <c r="H131" s="10" t="s">
        <v>245</v>
      </c>
      <c r="I131" s="10" t="s">
        <v>246</v>
      </c>
      <c r="J131" s="10" t="s">
        <v>247</v>
      </c>
      <c r="K131" s="10" t="s">
        <v>29</v>
      </c>
      <c r="L131" s="10" t="s">
        <v>557</v>
      </c>
      <c r="M131" s="10" t="s">
        <v>30</v>
      </c>
      <c r="N131" s="277"/>
      <c r="O131" s="277"/>
      <c r="P131" s="277"/>
      <c r="Q131" s="277"/>
      <c r="R131" s="277"/>
      <c r="S131" s="277"/>
    </row>
    <row r="132" spans="1:19" ht="240" x14ac:dyDescent="0.25">
      <c r="A132" s="174">
        <v>2551</v>
      </c>
      <c r="B132" s="172" t="s">
        <v>474</v>
      </c>
      <c r="C132" s="174">
        <v>909</v>
      </c>
      <c r="D132" s="173" t="s">
        <v>475</v>
      </c>
      <c r="E132" s="171" t="s">
        <v>20</v>
      </c>
      <c r="F132" s="171" t="s">
        <v>476</v>
      </c>
      <c r="G132" s="171" t="s">
        <v>99</v>
      </c>
      <c r="H132" s="171" t="s">
        <v>477</v>
      </c>
      <c r="I132" s="171"/>
      <c r="J132" s="171" t="s">
        <v>478</v>
      </c>
      <c r="K132" s="10" t="s">
        <v>29</v>
      </c>
      <c r="L132" s="10" t="s">
        <v>176</v>
      </c>
      <c r="M132" s="10" t="s">
        <v>30</v>
      </c>
      <c r="N132" s="175">
        <v>4200000</v>
      </c>
      <c r="O132" s="175">
        <v>4200000</v>
      </c>
      <c r="P132" s="175">
        <v>0</v>
      </c>
      <c r="Q132" s="175"/>
      <c r="R132" s="175"/>
      <c r="S132" s="175"/>
    </row>
    <row r="133" spans="1:19" ht="60" x14ac:dyDescent="0.25">
      <c r="A133" s="234"/>
      <c r="B133" s="236"/>
      <c r="C133" s="234"/>
      <c r="D133" s="237"/>
      <c r="E133" s="233"/>
      <c r="F133" s="233"/>
      <c r="G133" s="233"/>
      <c r="H133" s="233"/>
      <c r="I133" s="233"/>
      <c r="J133" s="233"/>
      <c r="K133" s="10" t="s">
        <v>527</v>
      </c>
      <c r="L133" s="10"/>
      <c r="M133" s="18" t="s">
        <v>528</v>
      </c>
      <c r="N133" s="235"/>
      <c r="O133" s="235"/>
      <c r="P133" s="235"/>
      <c r="Q133" s="235"/>
      <c r="R133" s="235"/>
      <c r="S133" s="235"/>
    </row>
    <row r="134" spans="1:19" ht="45" x14ac:dyDescent="0.25">
      <c r="A134" s="278">
        <v>2529</v>
      </c>
      <c r="B134" s="280" t="s">
        <v>250</v>
      </c>
      <c r="C134" s="278">
        <v>909</v>
      </c>
      <c r="D134" s="282" t="s">
        <v>219</v>
      </c>
      <c r="E134" s="280" t="s">
        <v>20</v>
      </c>
      <c r="F134" s="278" t="s">
        <v>251</v>
      </c>
      <c r="G134" s="348" t="s">
        <v>99</v>
      </c>
      <c r="H134" s="278"/>
      <c r="I134" s="278"/>
      <c r="J134" s="278"/>
      <c r="K134" s="10" t="s">
        <v>29</v>
      </c>
      <c r="L134" s="10" t="s">
        <v>176</v>
      </c>
      <c r="M134" s="10" t="s">
        <v>30</v>
      </c>
      <c r="N134" s="276">
        <f>5447686.9+2251313.1</f>
        <v>7699000</v>
      </c>
      <c r="O134" s="276">
        <f>2251313.1+5048224.45</f>
        <v>7299537.5500000007</v>
      </c>
      <c r="P134" s="276">
        <v>8237000</v>
      </c>
      <c r="Q134" s="276">
        <v>7594300</v>
      </c>
      <c r="R134" s="276">
        <v>7594300</v>
      </c>
      <c r="S134" s="276">
        <v>7594300</v>
      </c>
    </row>
    <row r="135" spans="1:19" ht="225" x14ac:dyDescent="0.25">
      <c r="A135" s="289"/>
      <c r="B135" s="297"/>
      <c r="C135" s="289"/>
      <c r="D135" s="290"/>
      <c r="E135" s="297"/>
      <c r="F135" s="289"/>
      <c r="G135" s="349"/>
      <c r="H135" s="289"/>
      <c r="I135" s="289"/>
      <c r="J135" s="289"/>
      <c r="K135" s="73" t="s">
        <v>252</v>
      </c>
      <c r="L135" s="73"/>
      <c r="M135" s="73" t="s">
        <v>249</v>
      </c>
      <c r="N135" s="284"/>
      <c r="O135" s="284"/>
      <c r="P135" s="284"/>
      <c r="Q135" s="284"/>
      <c r="R135" s="284"/>
      <c r="S135" s="284"/>
    </row>
    <row r="136" spans="1:19" ht="390" x14ac:dyDescent="0.25">
      <c r="A136" s="279"/>
      <c r="B136" s="281"/>
      <c r="C136" s="279"/>
      <c r="D136" s="283"/>
      <c r="E136" s="281"/>
      <c r="F136" s="279"/>
      <c r="G136" s="350"/>
      <c r="H136" s="279"/>
      <c r="I136" s="279"/>
      <c r="J136" s="279"/>
      <c r="K136" s="10" t="s">
        <v>472</v>
      </c>
      <c r="L136" s="10"/>
      <c r="M136" s="10" t="s">
        <v>473</v>
      </c>
      <c r="N136" s="277"/>
      <c r="O136" s="277"/>
      <c r="P136" s="277"/>
      <c r="Q136" s="277"/>
      <c r="R136" s="277"/>
      <c r="S136" s="277"/>
    </row>
    <row r="137" spans="1:19" ht="45" x14ac:dyDescent="0.25">
      <c r="A137" s="278">
        <v>2536</v>
      </c>
      <c r="B137" s="280" t="s">
        <v>253</v>
      </c>
      <c r="C137" s="278">
        <v>909</v>
      </c>
      <c r="D137" s="282" t="s">
        <v>455</v>
      </c>
      <c r="E137" s="280" t="s">
        <v>20</v>
      </c>
      <c r="F137" s="280" t="s">
        <v>254</v>
      </c>
      <c r="G137" s="314" t="s">
        <v>99</v>
      </c>
      <c r="H137" s="280" t="s">
        <v>255</v>
      </c>
      <c r="I137" s="280" t="s">
        <v>257</v>
      </c>
      <c r="J137" s="280" t="s">
        <v>256</v>
      </c>
      <c r="K137" s="10" t="s">
        <v>29</v>
      </c>
      <c r="L137" s="10" t="s">
        <v>260</v>
      </c>
      <c r="M137" s="10" t="s">
        <v>30</v>
      </c>
      <c r="N137" s="276">
        <v>73837.16</v>
      </c>
      <c r="O137" s="276">
        <v>73837.16</v>
      </c>
      <c r="P137" s="276">
        <v>73900</v>
      </c>
      <c r="Q137" s="276">
        <v>37900</v>
      </c>
      <c r="R137" s="276">
        <v>37900</v>
      </c>
      <c r="S137" s="276">
        <v>37900</v>
      </c>
    </row>
    <row r="138" spans="1:19" ht="120" x14ac:dyDescent="0.25">
      <c r="A138" s="289"/>
      <c r="B138" s="297"/>
      <c r="C138" s="289"/>
      <c r="D138" s="290"/>
      <c r="E138" s="297"/>
      <c r="F138" s="297"/>
      <c r="G138" s="315"/>
      <c r="H138" s="297"/>
      <c r="I138" s="297"/>
      <c r="J138" s="297"/>
      <c r="K138" s="220" t="s">
        <v>258</v>
      </c>
      <c r="L138" s="10"/>
      <c r="M138" s="10" t="s">
        <v>259</v>
      </c>
      <c r="N138" s="284"/>
      <c r="O138" s="284"/>
      <c r="P138" s="284"/>
      <c r="Q138" s="284"/>
      <c r="R138" s="284"/>
      <c r="S138" s="284"/>
    </row>
    <row r="139" spans="1:19" ht="75" x14ac:dyDescent="0.25">
      <c r="A139" s="279"/>
      <c r="B139" s="281"/>
      <c r="C139" s="279"/>
      <c r="D139" s="283"/>
      <c r="E139" s="281"/>
      <c r="F139" s="281"/>
      <c r="G139" s="316"/>
      <c r="H139" s="281"/>
      <c r="I139" s="281"/>
      <c r="J139" s="281"/>
      <c r="K139" s="10" t="s">
        <v>553</v>
      </c>
      <c r="L139" s="10"/>
      <c r="M139" s="18">
        <v>44253</v>
      </c>
      <c r="N139" s="277"/>
      <c r="O139" s="277"/>
      <c r="P139" s="277"/>
      <c r="Q139" s="277"/>
      <c r="R139" s="277"/>
      <c r="S139" s="277"/>
    </row>
    <row r="140" spans="1:19" ht="120" x14ac:dyDescent="0.25">
      <c r="A140" s="278">
        <v>2538</v>
      </c>
      <c r="B140" s="280" t="s">
        <v>261</v>
      </c>
      <c r="C140" s="278">
        <v>909</v>
      </c>
      <c r="D140" s="282" t="s">
        <v>262</v>
      </c>
      <c r="E140" s="10" t="s">
        <v>20</v>
      </c>
      <c r="F140" s="10" t="s">
        <v>263</v>
      </c>
      <c r="G140" s="18" t="s">
        <v>99</v>
      </c>
      <c r="H140" s="10" t="s">
        <v>267</v>
      </c>
      <c r="I140" s="10" t="s">
        <v>55</v>
      </c>
      <c r="J140" s="10" t="s">
        <v>268</v>
      </c>
      <c r="K140" s="220" t="s">
        <v>269</v>
      </c>
      <c r="L140" s="10"/>
      <c r="M140" s="10" t="s">
        <v>270</v>
      </c>
      <c r="N140" s="276">
        <v>867129.32</v>
      </c>
      <c r="O140" s="276">
        <v>867129.32</v>
      </c>
      <c r="P140" s="276">
        <v>950250</v>
      </c>
      <c r="Q140" s="276">
        <v>1450000</v>
      </c>
      <c r="R140" s="276">
        <v>1450000</v>
      </c>
      <c r="S140" s="276">
        <v>700000</v>
      </c>
    </row>
    <row r="141" spans="1:19" ht="60" x14ac:dyDescent="0.25">
      <c r="A141" s="279"/>
      <c r="B141" s="281"/>
      <c r="C141" s="279"/>
      <c r="D141" s="283"/>
      <c r="E141" s="10" t="s">
        <v>264</v>
      </c>
      <c r="F141" s="10" t="s">
        <v>265</v>
      </c>
      <c r="G141" s="10" t="s">
        <v>266</v>
      </c>
      <c r="H141" s="10"/>
      <c r="I141" s="10"/>
      <c r="J141" s="10"/>
      <c r="K141" s="10" t="s">
        <v>29</v>
      </c>
      <c r="L141" s="10" t="s">
        <v>271</v>
      </c>
      <c r="M141" s="10" t="s">
        <v>30</v>
      </c>
      <c r="N141" s="277"/>
      <c r="O141" s="277"/>
      <c r="P141" s="277"/>
      <c r="Q141" s="277"/>
      <c r="R141" s="277"/>
      <c r="S141" s="277"/>
    </row>
    <row r="142" spans="1:19" ht="90" x14ac:dyDescent="0.25">
      <c r="A142" s="278">
        <v>2128</v>
      </c>
      <c r="B142" s="280" t="s">
        <v>272</v>
      </c>
      <c r="C142" s="278">
        <v>909</v>
      </c>
      <c r="D142" s="282" t="s">
        <v>443</v>
      </c>
      <c r="E142" s="10" t="s">
        <v>20</v>
      </c>
      <c r="F142" s="10" t="s">
        <v>273</v>
      </c>
      <c r="G142" s="18" t="s">
        <v>99</v>
      </c>
      <c r="H142" s="10" t="s">
        <v>280</v>
      </c>
      <c r="I142" s="10" t="s">
        <v>55</v>
      </c>
      <c r="J142" s="10" t="s">
        <v>281</v>
      </c>
      <c r="K142" s="10" t="s">
        <v>29</v>
      </c>
      <c r="L142" s="10" t="s">
        <v>282</v>
      </c>
      <c r="M142" s="10" t="s">
        <v>30</v>
      </c>
      <c r="N142" s="276">
        <v>0</v>
      </c>
      <c r="O142" s="276">
        <v>0</v>
      </c>
      <c r="P142" s="50">
        <v>0</v>
      </c>
      <c r="Q142" s="50">
        <v>0</v>
      </c>
      <c r="R142" s="291">
        <v>0</v>
      </c>
      <c r="S142" s="291">
        <v>0</v>
      </c>
    </row>
    <row r="143" spans="1:19" ht="120" x14ac:dyDescent="0.25">
      <c r="A143" s="289"/>
      <c r="B143" s="297"/>
      <c r="C143" s="289"/>
      <c r="D143" s="290"/>
      <c r="E143" s="10" t="s">
        <v>274</v>
      </c>
      <c r="F143" s="10" t="s">
        <v>275</v>
      </c>
      <c r="G143" s="10" t="s">
        <v>276</v>
      </c>
      <c r="H143" s="10"/>
      <c r="I143" s="10"/>
      <c r="J143" s="10"/>
      <c r="K143" s="10" t="s">
        <v>283</v>
      </c>
      <c r="L143" s="10"/>
      <c r="M143" s="10" t="s">
        <v>284</v>
      </c>
      <c r="N143" s="284"/>
      <c r="O143" s="284"/>
      <c r="P143" s="52"/>
      <c r="Q143" s="52"/>
      <c r="R143" s="293"/>
      <c r="S143" s="293"/>
    </row>
    <row r="144" spans="1:19" ht="60" x14ac:dyDescent="0.25">
      <c r="A144" s="279"/>
      <c r="B144" s="281"/>
      <c r="C144" s="279"/>
      <c r="D144" s="283"/>
      <c r="E144" s="10" t="s">
        <v>277</v>
      </c>
      <c r="F144" s="10" t="s">
        <v>278</v>
      </c>
      <c r="G144" s="10" t="s">
        <v>279</v>
      </c>
      <c r="H144" s="10"/>
      <c r="I144" s="10"/>
      <c r="J144" s="10"/>
      <c r="K144" s="10"/>
      <c r="L144" s="10"/>
      <c r="M144" s="10"/>
      <c r="N144" s="277"/>
      <c r="O144" s="277"/>
      <c r="P144" s="51"/>
      <c r="Q144" s="51"/>
      <c r="R144" s="292"/>
      <c r="S144" s="292"/>
    </row>
    <row r="145" spans="1:19" ht="90" x14ac:dyDescent="0.25">
      <c r="A145" s="278" t="s">
        <v>535</v>
      </c>
      <c r="B145" s="280" t="s">
        <v>285</v>
      </c>
      <c r="C145" s="278">
        <v>909</v>
      </c>
      <c r="D145" s="282" t="s">
        <v>262</v>
      </c>
      <c r="E145" s="10" t="s">
        <v>20</v>
      </c>
      <c r="F145" s="10" t="s">
        <v>286</v>
      </c>
      <c r="G145" s="10" t="s">
        <v>99</v>
      </c>
      <c r="H145" s="10"/>
      <c r="I145" s="10"/>
      <c r="J145" s="10"/>
      <c r="K145" s="10" t="s">
        <v>29</v>
      </c>
      <c r="L145" s="10" t="s">
        <v>287</v>
      </c>
      <c r="M145" s="10" t="s">
        <v>30</v>
      </c>
      <c r="N145" s="276">
        <f>90156366.25+1887979.18-867129.32</f>
        <v>91177216.110000014</v>
      </c>
      <c r="O145" s="276">
        <f>90155102.66+1887979.18-867129.32</f>
        <v>91175952.520000011</v>
      </c>
      <c r="P145" s="53">
        <f>179633789+9645773.91-P140</f>
        <v>188329312.91</v>
      </c>
      <c r="Q145" s="53">
        <f>81199443+0-Q140</f>
        <v>79749443</v>
      </c>
      <c r="R145" s="291">
        <f>74199443-R140+2000000</f>
        <v>74749443</v>
      </c>
      <c r="S145" s="291">
        <v>41192043</v>
      </c>
    </row>
    <row r="146" spans="1:19" ht="90" x14ac:dyDescent="0.25">
      <c r="A146" s="289"/>
      <c r="B146" s="297"/>
      <c r="C146" s="289"/>
      <c r="D146" s="290"/>
      <c r="E146" s="10"/>
      <c r="F146" s="10"/>
      <c r="G146" s="10"/>
      <c r="H146" s="10"/>
      <c r="I146" s="10"/>
      <c r="J146" s="10"/>
      <c r="K146" s="205" t="s">
        <v>492</v>
      </c>
      <c r="L146" s="205"/>
      <c r="M146" s="205" t="s">
        <v>493</v>
      </c>
      <c r="N146" s="284"/>
      <c r="O146" s="284"/>
      <c r="P146" s="54"/>
      <c r="Q146" s="54"/>
      <c r="R146" s="293"/>
      <c r="S146" s="293"/>
    </row>
    <row r="147" spans="1:19" ht="105" x14ac:dyDescent="0.25">
      <c r="A147" s="234"/>
      <c r="B147" s="236"/>
      <c r="C147" s="234"/>
      <c r="D147" s="237"/>
      <c r="E147" s="10"/>
      <c r="F147" s="10"/>
      <c r="G147" s="10"/>
      <c r="H147" s="10"/>
      <c r="I147" s="10"/>
      <c r="J147" s="10"/>
      <c r="K147" s="205" t="s">
        <v>529</v>
      </c>
      <c r="L147" s="205"/>
      <c r="M147" s="205" t="s">
        <v>530</v>
      </c>
      <c r="N147" s="235"/>
      <c r="O147" s="235"/>
      <c r="P147" s="238"/>
      <c r="Q147" s="238"/>
      <c r="R147" s="238"/>
      <c r="S147" s="238"/>
    </row>
    <row r="148" spans="1:19" ht="225" x14ac:dyDescent="0.25">
      <c r="A148" s="212"/>
      <c r="B148" s="215"/>
      <c r="C148" s="212"/>
      <c r="D148" s="213"/>
      <c r="E148" s="10"/>
      <c r="F148" s="10"/>
      <c r="G148" s="10"/>
      <c r="H148" s="10"/>
      <c r="I148" s="10"/>
      <c r="J148" s="10"/>
      <c r="K148" s="239" t="s">
        <v>501</v>
      </c>
      <c r="L148" s="205"/>
      <c r="M148" s="217">
        <v>44216</v>
      </c>
      <c r="N148" s="211"/>
      <c r="O148" s="211"/>
      <c r="P148" s="214"/>
      <c r="Q148" s="214"/>
      <c r="R148" s="214"/>
      <c r="S148" s="214"/>
    </row>
    <row r="149" spans="1:19" ht="105" x14ac:dyDescent="0.25">
      <c r="A149" s="212"/>
      <c r="B149" s="215"/>
      <c r="C149" s="212"/>
      <c r="D149" s="213"/>
      <c r="E149" s="10"/>
      <c r="F149" s="10"/>
      <c r="G149" s="10"/>
      <c r="H149" s="10"/>
      <c r="I149" s="10"/>
      <c r="J149" s="10"/>
      <c r="K149" s="239" t="s">
        <v>502</v>
      </c>
      <c r="L149" s="205"/>
      <c r="M149" s="217">
        <v>44216</v>
      </c>
      <c r="N149" s="211"/>
      <c r="O149" s="211"/>
      <c r="P149" s="214"/>
      <c r="Q149" s="214"/>
      <c r="R149" s="214"/>
      <c r="S149" s="214"/>
    </row>
    <row r="150" spans="1:19" s="23" customFormat="1" ht="114" x14ac:dyDescent="0.2">
      <c r="A150" s="85">
        <v>2600</v>
      </c>
      <c r="B150" s="28" t="s">
        <v>543</v>
      </c>
      <c r="C150" s="17"/>
      <c r="D150" s="26"/>
      <c r="E150" s="17"/>
      <c r="F150" s="17"/>
      <c r="G150" s="17"/>
      <c r="H150" s="17"/>
      <c r="I150" s="17"/>
      <c r="J150" s="17"/>
      <c r="K150" s="17"/>
      <c r="L150" s="17"/>
      <c r="M150" s="17"/>
      <c r="N150" s="40">
        <f>N151+N153</f>
        <v>20404354.41</v>
      </c>
      <c r="O150" s="40">
        <f t="shared" ref="O150:S150" si="23">O151+O153</f>
        <v>20390409.419999998</v>
      </c>
      <c r="P150" s="40">
        <f t="shared" si="23"/>
        <v>30418585</v>
      </c>
      <c r="Q150" s="40">
        <f t="shared" si="23"/>
        <v>27967285</v>
      </c>
      <c r="R150" s="40">
        <f t="shared" si="23"/>
        <v>25967290</v>
      </c>
      <c r="S150" s="40">
        <f t="shared" si="23"/>
        <v>27967290</v>
      </c>
    </row>
    <row r="151" spans="1:19" ht="105" x14ac:dyDescent="0.25">
      <c r="A151" s="278" t="s">
        <v>532</v>
      </c>
      <c r="B151" s="280" t="s">
        <v>383</v>
      </c>
      <c r="C151" s="278">
        <v>909</v>
      </c>
      <c r="D151" s="282" t="s">
        <v>215</v>
      </c>
      <c r="E151" s="10" t="s">
        <v>20</v>
      </c>
      <c r="F151" s="10" t="s">
        <v>33</v>
      </c>
      <c r="G151" s="9" t="s">
        <v>21</v>
      </c>
      <c r="H151" s="10" t="s">
        <v>24</v>
      </c>
      <c r="I151" s="11" t="s">
        <v>25</v>
      </c>
      <c r="J151" s="9" t="s">
        <v>26</v>
      </c>
      <c r="K151" s="10" t="s">
        <v>29</v>
      </c>
      <c r="L151" s="4"/>
      <c r="M151" s="10" t="s">
        <v>30</v>
      </c>
      <c r="N151" s="287">
        <v>8350585.9900000002</v>
      </c>
      <c r="O151" s="287">
        <v>8347454.0499999998</v>
      </c>
      <c r="P151" s="99">
        <f>10871476-50000</f>
        <v>10821476</v>
      </c>
      <c r="Q151" s="99">
        <v>9501476</v>
      </c>
      <c r="R151" s="291">
        <f>9501476-2000000</f>
        <v>7501476</v>
      </c>
      <c r="S151" s="291">
        <v>9501476</v>
      </c>
    </row>
    <row r="152" spans="1:19" ht="285" x14ac:dyDescent="0.25">
      <c r="A152" s="279"/>
      <c r="B152" s="281"/>
      <c r="C152" s="279"/>
      <c r="D152" s="283"/>
      <c r="E152" s="9" t="s">
        <v>22</v>
      </c>
      <c r="F152" s="7" t="s">
        <v>25</v>
      </c>
      <c r="G152" s="9" t="s">
        <v>23</v>
      </c>
      <c r="H152" s="10" t="s">
        <v>27</v>
      </c>
      <c r="I152" s="11" t="s">
        <v>25</v>
      </c>
      <c r="J152" s="10" t="s">
        <v>28</v>
      </c>
      <c r="K152" s="10" t="s">
        <v>456</v>
      </c>
      <c r="L152" s="10"/>
      <c r="M152" s="10" t="s">
        <v>457</v>
      </c>
      <c r="N152" s="288"/>
      <c r="O152" s="288"/>
      <c r="P152" s="100"/>
      <c r="Q152" s="100"/>
      <c r="R152" s="292"/>
      <c r="S152" s="292"/>
    </row>
    <row r="153" spans="1:19" ht="90" x14ac:dyDescent="0.25">
      <c r="A153" s="278">
        <v>2608</v>
      </c>
      <c r="B153" s="280" t="s">
        <v>384</v>
      </c>
      <c r="C153" s="278">
        <v>909</v>
      </c>
      <c r="D153" s="282" t="s">
        <v>215</v>
      </c>
      <c r="E153" s="10" t="s">
        <v>20</v>
      </c>
      <c r="F153" s="10" t="s">
        <v>35</v>
      </c>
      <c r="G153" s="10" t="s">
        <v>21</v>
      </c>
      <c r="H153" s="13"/>
      <c r="I153" s="10"/>
      <c r="J153" s="10"/>
      <c r="K153" s="14" t="s">
        <v>216</v>
      </c>
      <c r="L153" s="10"/>
      <c r="M153" s="10" t="s">
        <v>217</v>
      </c>
      <c r="N153" s="291">
        <f>12303768.42-250000</f>
        <v>12053768.42</v>
      </c>
      <c r="O153" s="276">
        <f>12292955.37-250000</f>
        <v>12042955.369999999</v>
      </c>
      <c r="P153" s="192">
        <v>19597109</v>
      </c>
      <c r="Q153" s="97">
        <v>18465809</v>
      </c>
      <c r="R153" s="276">
        <v>18465814</v>
      </c>
      <c r="S153" s="276">
        <v>18465814</v>
      </c>
    </row>
    <row r="154" spans="1:19" ht="30" x14ac:dyDescent="0.25">
      <c r="A154" s="279"/>
      <c r="B154" s="281"/>
      <c r="C154" s="279"/>
      <c r="D154" s="283"/>
      <c r="E154" s="10"/>
      <c r="F154" s="10"/>
      <c r="G154" s="10"/>
      <c r="H154" s="10"/>
      <c r="I154" s="10"/>
      <c r="J154" s="10"/>
      <c r="K154" s="10" t="s">
        <v>29</v>
      </c>
      <c r="L154" s="7" t="s">
        <v>36</v>
      </c>
      <c r="M154" s="10" t="s">
        <v>38</v>
      </c>
      <c r="N154" s="292"/>
      <c r="O154" s="277"/>
      <c r="P154" s="98"/>
      <c r="Q154" s="98"/>
      <c r="R154" s="277"/>
      <c r="S154" s="277"/>
    </row>
    <row r="155" spans="1:19" s="23" customFormat="1" ht="156.75" x14ac:dyDescent="0.2">
      <c r="A155" s="116">
        <v>3200</v>
      </c>
      <c r="B155" s="118" t="s">
        <v>416</v>
      </c>
      <c r="C155" s="17"/>
      <c r="D155" s="26"/>
      <c r="E155" s="17"/>
      <c r="F155" s="17"/>
      <c r="G155" s="17"/>
      <c r="H155" s="17"/>
      <c r="I155" s="17"/>
      <c r="J155" s="17"/>
      <c r="K155" s="17"/>
      <c r="L155" s="17"/>
      <c r="M155" s="17"/>
      <c r="N155" s="40">
        <f t="shared" ref="N155:S155" si="24">N156+N157</f>
        <v>22633620</v>
      </c>
      <c r="O155" s="40">
        <f t="shared" si="24"/>
        <v>15006732.390000001</v>
      </c>
      <c r="P155" s="40">
        <f t="shared" si="24"/>
        <v>33507200</v>
      </c>
      <c r="Q155" s="40">
        <f t="shared" si="24"/>
        <v>57315800</v>
      </c>
      <c r="R155" s="40">
        <f t="shared" si="24"/>
        <v>57315800</v>
      </c>
      <c r="S155" s="40">
        <f t="shared" si="24"/>
        <v>57243000</v>
      </c>
    </row>
    <row r="156" spans="1:19" ht="255" x14ac:dyDescent="0.25">
      <c r="A156" s="12">
        <v>3260</v>
      </c>
      <c r="B156" s="10" t="s">
        <v>389</v>
      </c>
      <c r="C156" s="12">
        <v>909</v>
      </c>
      <c r="D156" s="21" t="s">
        <v>219</v>
      </c>
      <c r="E156" s="10" t="s">
        <v>69</v>
      </c>
      <c r="F156" s="10" t="s">
        <v>288</v>
      </c>
      <c r="G156" s="10" t="s">
        <v>71</v>
      </c>
      <c r="H156" s="10" t="s">
        <v>289</v>
      </c>
      <c r="I156" s="10" t="s">
        <v>55</v>
      </c>
      <c r="J156" s="10" t="s">
        <v>290</v>
      </c>
      <c r="K156" s="10" t="s">
        <v>427</v>
      </c>
      <c r="L156" s="10"/>
      <c r="M156" s="10" t="s">
        <v>291</v>
      </c>
      <c r="N156" s="39">
        <v>20584900</v>
      </c>
      <c r="O156" s="39">
        <v>12958531.5</v>
      </c>
      <c r="P156" s="39">
        <v>31349500</v>
      </c>
      <c r="Q156" s="39">
        <v>55158100</v>
      </c>
      <c r="R156" s="39">
        <v>55158100</v>
      </c>
      <c r="S156" s="39">
        <v>55158100</v>
      </c>
    </row>
    <row r="157" spans="1:19" ht="105" x14ac:dyDescent="0.25">
      <c r="A157" s="278">
        <v>3254</v>
      </c>
      <c r="B157" s="280" t="s">
        <v>390</v>
      </c>
      <c r="C157" s="278">
        <v>909</v>
      </c>
      <c r="D157" s="282" t="s">
        <v>460</v>
      </c>
      <c r="E157" s="280" t="s">
        <v>69</v>
      </c>
      <c r="F157" s="280" t="s">
        <v>292</v>
      </c>
      <c r="G157" s="278" t="s">
        <v>71</v>
      </c>
      <c r="H157" s="280" t="s">
        <v>293</v>
      </c>
      <c r="I157" s="280" t="s">
        <v>55</v>
      </c>
      <c r="J157" s="280" t="s">
        <v>294</v>
      </c>
      <c r="K157" s="10" t="s">
        <v>428</v>
      </c>
      <c r="L157" s="10"/>
      <c r="M157" s="10" t="s">
        <v>429</v>
      </c>
      <c r="N157" s="291">
        <v>2048720</v>
      </c>
      <c r="O157" s="291">
        <v>2048200.89</v>
      </c>
      <c r="P157" s="291">
        <v>2157700</v>
      </c>
      <c r="Q157" s="291">
        <v>2157700</v>
      </c>
      <c r="R157" s="291">
        <v>2157700</v>
      </c>
      <c r="S157" s="291">
        <v>2084900</v>
      </c>
    </row>
    <row r="158" spans="1:19" x14ac:dyDescent="0.25">
      <c r="A158" s="318"/>
      <c r="B158" s="337"/>
      <c r="C158" s="318"/>
      <c r="D158" s="283"/>
      <c r="E158" s="281"/>
      <c r="F158" s="281"/>
      <c r="G158" s="279"/>
      <c r="H158" s="281"/>
      <c r="I158" s="281"/>
      <c r="J158" s="281"/>
      <c r="K158" s="10"/>
      <c r="L158" s="10"/>
      <c r="M158" s="10"/>
      <c r="N158" s="292"/>
      <c r="O158" s="292"/>
      <c r="P158" s="292"/>
      <c r="Q158" s="292"/>
      <c r="R158" s="292"/>
      <c r="S158" s="292"/>
    </row>
    <row r="159" spans="1:19" s="23" customFormat="1" ht="42.75" x14ac:dyDescent="0.2">
      <c r="A159" s="30"/>
      <c r="B159" s="29" t="s">
        <v>295</v>
      </c>
      <c r="C159" s="30">
        <v>911</v>
      </c>
      <c r="D159" s="31"/>
      <c r="E159" s="29"/>
      <c r="F159" s="29"/>
      <c r="G159" s="29"/>
      <c r="H159" s="29"/>
      <c r="I159" s="29"/>
      <c r="J159" s="29"/>
      <c r="K159" s="29"/>
      <c r="L159" s="29"/>
      <c r="M159" s="29"/>
      <c r="N159" s="44">
        <f t="shared" ref="N159:S159" si="25">N160+N172</f>
        <v>142121016</v>
      </c>
      <c r="O159" s="44">
        <f t="shared" si="25"/>
        <v>140783318.43000001</v>
      </c>
      <c r="P159" s="44">
        <f t="shared" si="25"/>
        <v>141736782.06999999</v>
      </c>
      <c r="Q159" s="44">
        <f t="shared" si="25"/>
        <v>128227647</v>
      </c>
      <c r="R159" s="44">
        <f t="shared" si="25"/>
        <v>119543212</v>
      </c>
      <c r="S159" s="44">
        <f t="shared" si="25"/>
        <v>119543212</v>
      </c>
    </row>
    <row r="160" spans="1:19" s="23" customFormat="1" ht="57" x14ac:dyDescent="0.2">
      <c r="A160" s="112">
        <v>2500</v>
      </c>
      <c r="B160" s="121" t="s">
        <v>542</v>
      </c>
      <c r="C160" s="17"/>
      <c r="D160" s="26"/>
      <c r="E160" s="17"/>
      <c r="F160" s="17"/>
      <c r="G160" s="17"/>
      <c r="H160" s="17"/>
      <c r="I160" s="17"/>
      <c r="J160" s="17"/>
      <c r="K160" s="17"/>
      <c r="L160" s="17"/>
      <c r="M160" s="17"/>
      <c r="N160" s="40">
        <f>N161+N168+N164</f>
        <v>112954294</v>
      </c>
      <c r="O160" s="40">
        <f t="shared" ref="O160" si="26">O161+O168+O164</f>
        <v>111715174.75</v>
      </c>
      <c r="P160" s="40">
        <f>P161+P168+P164+P165</f>
        <v>110844857.06999999</v>
      </c>
      <c r="Q160" s="40">
        <f t="shared" ref="Q160:S160" si="27">Q161+Q168+Q164+Q165</f>
        <v>98004880</v>
      </c>
      <c r="R160" s="40">
        <f t="shared" si="27"/>
        <v>89460783</v>
      </c>
      <c r="S160" s="40">
        <f t="shared" si="27"/>
        <v>89460783</v>
      </c>
    </row>
    <row r="161" spans="1:19" ht="90" x14ac:dyDescent="0.25">
      <c r="A161" s="278">
        <v>2534</v>
      </c>
      <c r="B161" s="280" t="s">
        <v>308</v>
      </c>
      <c r="C161" s="278">
        <v>911</v>
      </c>
      <c r="D161" s="282" t="s">
        <v>309</v>
      </c>
      <c r="E161" s="10" t="s">
        <v>20</v>
      </c>
      <c r="F161" s="10" t="s">
        <v>310</v>
      </c>
      <c r="G161" s="10" t="s">
        <v>99</v>
      </c>
      <c r="H161" s="10"/>
      <c r="I161" s="10"/>
      <c r="J161" s="10"/>
      <c r="K161" s="10" t="s">
        <v>29</v>
      </c>
      <c r="L161" s="10" t="s">
        <v>176</v>
      </c>
      <c r="M161" s="10" t="s">
        <v>30</v>
      </c>
      <c r="N161" s="276">
        <f>76567059.52-N164</f>
        <v>76535186.019999996</v>
      </c>
      <c r="O161" s="276">
        <f>76025529.34-O164</f>
        <v>75993655.840000004</v>
      </c>
      <c r="P161" s="50">
        <f>87180376-P164</f>
        <v>86681177.900000006</v>
      </c>
      <c r="Q161" s="50">
        <f>78441646-Q164</f>
        <v>77957556</v>
      </c>
      <c r="R161" s="276">
        <f>69998409-R164</f>
        <v>69514319</v>
      </c>
      <c r="S161" s="276">
        <f>69998409-S164</f>
        <v>69514319</v>
      </c>
    </row>
    <row r="162" spans="1:19" ht="60" x14ac:dyDescent="0.25">
      <c r="A162" s="289"/>
      <c r="B162" s="297"/>
      <c r="C162" s="289"/>
      <c r="D162" s="290"/>
      <c r="E162" s="10"/>
      <c r="F162" s="10"/>
      <c r="G162" s="10"/>
      <c r="H162" s="10"/>
      <c r="I162" s="10"/>
      <c r="J162" s="10"/>
      <c r="K162" s="73" t="s">
        <v>503</v>
      </c>
      <c r="L162" s="73"/>
      <c r="M162" s="229" t="s">
        <v>511</v>
      </c>
      <c r="N162" s="284"/>
      <c r="O162" s="284"/>
      <c r="P162" s="135"/>
      <c r="Q162" s="135"/>
      <c r="R162" s="284"/>
      <c r="S162" s="284"/>
    </row>
    <row r="163" spans="1:19" ht="165" x14ac:dyDescent="0.25">
      <c r="A163" s="279"/>
      <c r="B163" s="281"/>
      <c r="C163" s="279"/>
      <c r="D163" s="283"/>
      <c r="E163" s="136"/>
      <c r="F163" s="136"/>
      <c r="G163" s="136"/>
      <c r="H163" s="10"/>
      <c r="I163" s="10"/>
      <c r="J163" s="10"/>
      <c r="K163" s="10" t="s">
        <v>509</v>
      </c>
      <c r="L163" s="10"/>
      <c r="M163" s="10" t="s">
        <v>510</v>
      </c>
      <c r="N163" s="135"/>
      <c r="O163" s="135"/>
      <c r="P163" s="135"/>
      <c r="Q163" s="135"/>
      <c r="R163" s="135"/>
      <c r="S163" s="135"/>
    </row>
    <row r="164" spans="1:19" ht="165" x14ac:dyDescent="0.25">
      <c r="A164" s="12">
        <v>2535</v>
      </c>
      <c r="B164" s="10" t="s">
        <v>550</v>
      </c>
      <c r="C164" s="12">
        <v>911</v>
      </c>
      <c r="D164" s="21" t="s">
        <v>309</v>
      </c>
      <c r="E164" s="10" t="s">
        <v>311</v>
      </c>
      <c r="F164" s="10" t="s">
        <v>312</v>
      </c>
      <c r="G164" s="10" t="s">
        <v>313</v>
      </c>
      <c r="H164" s="10"/>
      <c r="I164" s="10"/>
      <c r="J164" s="10"/>
      <c r="K164" s="10" t="s">
        <v>368</v>
      </c>
      <c r="L164" s="10"/>
      <c r="M164" s="10" t="s">
        <v>369</v>
      </c>
      <c r="N164" s="251">
        <v>31873.5</v>
      </c>
      <c r="O164" s="251">
        <v>31873.5</v>
      </c>
      <c r="P164" s="251">
        <v>499198.1</v>
      </c>
      <c r="Q164" s="251">
        <v>484090</v>
      </c>
      <c r="R164" s="251">
        <v>484090</v>
      </c>
      <c r="S164" s="251">
        <v>484090</v>
      </c>
    </row>
    <row r="165" spans="1:19" ht="135" x14ac:dyDescent="0.25">
      <c r="A165" s="278">
        <v>2554</v>
      </c>
      <c r="B165" s="280" t="s">
        <v>551</v>
      </c>
      <c r="C165" s="278">
        <v>911</v>
      </c>
      <c r="D165" s="282" t="s">
        <v>34</v>
      </c>
      <c r="E165" s="191" t="s">
        <v>20</v>
      </c>
      <c r="F165" s="191" t="s">
        <v>54</v>
      </c>
      <c r="G165" s="191" t="s">
        <v>99</v>
      </c>
      <c r="H165" s="10"/>
      <c r="I165" s="10"/>
      <c r="J165" s="10"/>
      <c r="K165" s="10" t="s">
        <v>512</v>
      </c>
      <c r="L165" s="10"/>
      <c r="M165" s="10" t="s">
        <v>405</v>
      </c>
      <c r="N165" s="190"/>
      <c r="O165" s="190"/>
      <c r="P165" s="190">
        <v>804593.32</v>
      </c>
      <c r="Q165" s="190">
        <v>100000</v>
      </c>
      <c r="R165" s="190">
        <v>100000</v>
      </c>
      <c r="S165" s="190">
        <v>100000</v>
      </c>
    </row>
    <row r="166" spans="1:19" ht="135" x14ac:dyDescent="0.25">
      <c r="A166" s="289"/>
      <c r="B166" s="297"/>
      <c r="C166" s="289"/>
      <c r="D166" s="290"/>
      <c r="E166" s="231"/>
      <c r="F166" s="231"/>
      <c r="G166" s="231"/>
      <c r="H166" s="10"/>
      <c r="I166" s="10"/>
      <c r="J166" s="10"/>
      <c r="K166" s="10" t="s">
        <v>516</v>
      </c>
      <c r="L166" s="10"/>
      <c r="M166" s="10" t="s">
        <v>57</v>
      </c>
      <c r="N166" s="232"/>
      <c r="O166" s="232"/>
      <c r="P166" s="232"/>
      <c r="Q166" s="232"/>
      <c r="R166" s="232"/>
      <c r="S166" s="232"/>
    </row>
    <row r="167" spans="1:19" ht="135" x14ac:dyDescent="0.25">
      <c r="A167" s="279"/>
      <c r="B167" s="281"/>
      <c r="C167" s="279"/>
      <c r="D167" s="283"/>
      <c r="E167" s="231"/>
      <c r="F167" s="231"/>
      <c r="G167" s="231"/>
      <c r="H167" s="10"/>
      <c r="I167" s="10"/>
      <c r="J167" s="10"/>
      <c r="K167" s="10" t="s">
        <v>517</v>
      </c>
      <c r="L167" s="10"/>
      <c r="M167" s="10" t="s">
        <v>518</v>
      </c>
      <c r="N167" s="232"/>
      <c r="O167" s="232"/>
      <c r="P167" s="232"/>
      <c r="Q167" s="232"/>
      <c r="R167" s="232"/>
      <c r="S167" s="232"/>
    </row>
    <row r="168" spans="1:19" ht="90" x14ac:dyDescent="0.25">
      <c r="A168" s="278">
        <v>2555</v>
      </c>
      <c r="B168" s="278" t="s">
        <v>300</v>
      </c>
      <c r="C168" s="278">
        <v>911</v>
      </c>
      <c r="D168" s="282" t="s">
        <v>301</v>
      </c>
      <c r="E168" s="280" t="s">
        <v>20</v>
      </c>
      <c r="F168" s="280" t="s">
        <v>302</v>
      </c>
      <c r="G168" s="280" t="s">
        <v>99</v>
      </c>
      <c r="H168" s="10" t="s">
        <v>303</v>
      </c>
      <c r="I168" s="10" t="s">
        <v>304</v>
      </c>
      <c r="J168" s="10" t="s">
        <v>305</v>
      </c>
      <c r="K168" s="10" t="s">
        <v>29</v>
      </c>
      <c r="L168" s="10" t="s">
        <v>176</v>
      </c>
      <c r="M168" s="10" t="s">
        <v>30</v>
      </c>
      <c r="N168" s="276">
        <v>36387234.479999997</v>
      </c>
      <c r="O168" s="276">
        <v>35689645.409999996</v>
      </c>
      <c r="P168" s="50">
        <v>22859887.75</v>
      </c>
      <c r="Q168" s="50">
        <v>19463234</v>
      </c>
      <c r="R168" s="276">
        <v>19362374</v>
      </c>
      <c r="S168" s="276">
        <v>19362374</v>
      </c>
    </row>
    <row r="169" spans="1:19" ht="30" x14ac:dyDescent="0.25">
      <c r="A169" s="289"/>
      <c r="B169" s="289"/>
      <c r="C169" s="289"/>
      <c r="D169" s="290"/>
      <c r="E169" s="297"/>
      <c r="F169" s="297"/>
      <c r="G169" s="297"/>
      <c r="H169" s="10"/>
      <c r="I169" s="10"/>
      <c r="J169" s="10"/>
      <c r="K169" s="27" t="s">
        <v>375</v>
      </c>
      <c r="L169" s="10"/>
      <c r="M169" s="10" t="s">
        <v>374</v>
      </c>
      <c r="N169" s="284"/>
      <c r="O169" s="284"/>
      <c r="P169" s="52"/>
      <c r="Q169" s="52"/>
      <c r="R169" s="284"/>
      <c r="S169" s="284"/>
    </row>
    <row r="170" spans="1:19" ht="75" x14ac:dyDescent="0.25">
      <c r="A170" s="289"/>
      <c r="B170" s="289"/>
      <c r="C170" s="289"/>
      <c r="D170" s="290"/>
      <c r="E170" s="297"/>
      <c r="F170" s="297"/>
      <c r="G170" s="297"/>
      <c r="H170" s="10"/>
      <c r="I170" s="10"/>
      <c r="J170" s="10"/>
      <c r="K170" s="27" t="s">
        <v>513</v>
      </c>
      <c r="L170" s="10"/>
      <c r="M170" s="10" t="s">
        <v>514</v>
      </c>
      <c r="N170" s="284"/>
      <c r="O170" s="284"/>
      <c r="P170" s="228"/>
      <c r="Q170" s="228"/>
      <c r="R170" s="284"/>
      <c r="S170" s="284"/>
    </row>
    <row r="171" spans="1:19" ht="120" x14ac:dyDescent="0.25">
      <c r="A171" s="289"/>
      <c r="B171" s="289"/>
      <c r="C171" s="289"/>
      <c r="D171" s="290"/>
      <c r="E171" s="281"/>
      <c r="F171" s="281"/>
      <c r="G171" s="281"/>
      <c r="H171" s="10"/>
      <c r="I171" s="10"/>
      <c r="J171" s="10"/>
      <c r="K171" s="219" t="s">
        <v>306</v>
      </c>
      <c r="L171" s="220"/>
      <c r="M171" s="10" t="s">
        <v>307</v>
      </c>
      <c r="N171" s="277"/>
      <c r="O171" s="277"/>
      <c r="P171" s="51"/>
      <c r="Q171" s="51"/>
      <c r="R171" s="277"/>
      <c r="S171" s="277"/>
    </row>
    <row r="172" spans="1:19" s="23" customFormat="1" ht="114" x14ac:dyDescent="0.2">
      <c r="A172" s="85">
        <v>2600</v>
      </c>
      <c r="B172" s="28" t="s">
        <v>543</v>
      </c>
      <c r="C172" s="17"/>
      <c r="D172" s="26"/>
      <c r="E172" s="17"/>
      <c r="F172" s="17"/>
      <c r="G172" s="17"/>
      <c r="H172" s="17"/>
      <c r="I172" s="17"/>
      <c r="J172" s="17"/>
      <c r="K172" s="17"/>
      <c r="L172" s="17"/>
      <c r="M172" s="17"/>
      <c r="N172" s="40">
        <f>N173+N175</f>
        <v>29166722</v>
      </c>
      <c r="O172" s="40">
        <f t="shared" ref="O172:S172" si="28">O173+O175</f>
        <v>29068143.68</v>
      </c>
      <c r="P172" s="40">
        <f t="shared" si="28"/>
        <v>30891925</v>
      </c>
      <c r="Q172" s="40">
        <f t="shared" si="28"/>
        <v>30222767</v>
      </c>
      <c r="R172" s="40">
        <f t="shared" si="28"/>
        <v>30082429</v>
      </c>
      <c r="S172" s="40">
        <f t="shared" si="28"/>
        <v>30082429</v>
      </c>
    </row>
    <row r="173" spans="1:19" ht="105" x14ac:dyDescent="0.25">
      <c r="A173" s="278" t="s">
        <v>532</v>
      </c>
      <c r="B173" s="280" t="s">
        <v>383</v>
      </c>
      <c r="C173" s="278">
        <v>911</v>
      </c>
      <c r="D173" s="282" t="s">
        <v>296</v>
      </c>
      <c r="E173" s="10" t="s">
        <v>20</v>
      </c>
      <c r="F173" s="10" t="s">
        <v>33</v>
      </c>
      <c r="G173" s="9" t="s">
        <v>21</v>
      </c>
      <c r="H173" s="10" t="s">
        <v>24</v>
      </c>
      <c r="I173" s="11" t="s">
        <v>25</v>
      </c>
      <c r="J173" s="9" t="s">
        <v>26</v>
      </c>
      <c r="K173" s="10" t="s">
        <v>29</v>
      </c>
      <c r="L173" s="4"/>
      <c r="M173" s="10" t="s">
        <v>30</v>
      </c>
      <c r="N173" s="276">
        <v>2982887</v>
      </c>
      <c r="O173" s="276">
        <v>2918683.71</v>
      </c>
      <c r="P173" s="97">
        <v>3700970</v>
      </c>
      <c r="Q173" s="97">
        <v>3696680</v>
      </c>
      <c r="R173" s="276">
        <v>3650256</v>
      </c>
      <c r="S173" s="276">
        <v>3650256</v>
      </c>
    </row>
    <row r="174" spans="1:19" ht="285" x14ac:dyDescent="0.25">
      <c r="A174" s="279"/>
      <c r="B174" s="281"/>
      <c r="C174" s="279"/>
      <c r="D174" s="283"/>
      <c r="E174" s="9" t="s">
        <v>22</v>
      </c>
      <c r="F174" s="7" t="s">
        <v>25</v>
      </c>
      <c r="G174" s="9" t="s">
        <v>23</v>
      </c>
      <c r="H174" s="10" t="s">
        <v>27</v>
      </c>
      <c r="I174" s="11" t="s">
        <v>25</v>
      </c>
      <c r="J174" s="10" t="s">
        <v>28</v>
      </c>
      <c r="K174" s="10" t="s">
        <v>297</v>
      </c>
      <c r="L174" s="11"/>
      <c r="M174" s="10" t="s">
        <v>298</v>
      </c>
      <c r="N174" s="277"/>
      <c r="O174" s="277"/>
      <c r="P174" s="98"/>
      <c r="Q174" s="98"/>
      <c r="R174" s="277"/>
      <c r="S174" s="277"/>
    </row>
    <row r="175" spans="1:19" ht="45" x14ac:dyDescent="0.25">
      <c r="A175" s="278">
        <v>2608</v>
      </c>
      <c r="B175" s="280" t="s">
        <v>384</v>
      </c>
      <c r="C175" s="278">
        <v>911</v>
      </c>
      <c r="D175" s="282" t="s">
        <v>296</v>
      </c>
      <c r="E175" s="280" t="s">
        <v>20</v>
      </c>
      <c r="F175" s="280" t="s">
        <v>35</v>
      </c>
      <c r="G175" s="280" t="s">
        <v>21</v>
      </c>
      <c r="H175" s="308"/>
      <c r="I175" s="278"/>
      <c r="J175" s="278"/>
      <c r="K175" s="10" t="s">
        <v>29</v>
      </c>
      <c r="L175" s="4"/>
      <c r="M175" s="10" t="s">
        <v>30</v>
      </c>
      <c r="N175" s="276">
        <v>26183835</v>
      </c>
      <c r="O175" s="276">
        <v>26149459.969999999</v>
      </c>
      <c r="P175" s="97">
        <v>27190955</v>
      </c>
      <c r="Q175" s="97">
        <v>26526087</v>
      </c>
      <c r="R175" s="276">
        <v>26432173</v>
      </c>
      <c r="S175" s="276">
        <v>26432173</v>
      </c>
    </row>
    <row r="176" spans="1:19" ht="60" x14ac:dyDescent="0.25">
      <c r="A176" s="279"/>
      <c r="B176" s="281"/>
      <c r="C176" s="279"/>
      <c r="D176" s="283"/>
      <c r="E176" s="281"/>
      <c r="F176" s="281"/>
      <c r="G176" s="281"/>
      <c r="H176" s="309"/>
      <c r="I176" s="279"/>
      <c r="J176" s="279"/>
      <c r="K176" s="10" t="s">
        <v>372</v>
      </c>
      <c r="L176" s="4"/>
      <c r="M176" s="10" t="s">
        <v>373</v>
      </c>
      <c r="N176" s="277"/>
      <c r="O176" s="277"/>
      <c r="P176" s="98"/>
      <c r="Q176" s="98"/>
      <c r="R176" s="277"/>
      <c r="S176" s="277"/>
    </row>
    <row r="177" spans="1:19" s="23" customFormat="1" ht="14.25" x14ac:dyDescent="0.2">
      <c r="A177" s="33"/>
      <c r="B177" s="32" t="s">
        <v>314</v>
      </c>
      <c r="C177" s="33">
        <v>915</v>
      </c>
      <c r="D177" s="34"/>
      <c r="E177" s="32"/>
      <c r="F177" s="32"/>
      <c r="G177" s="32"/>
      <c r="H177" s="32"/>
      <c r="I177" s="32"/>
      <c r="J177" s="32"/>
      <c r="K177" s="32"/>
      <c r="L177" s="32"/>
      <c r="M177" s="32"/>
      <c r="N177" s="41">
        <f t="shared" ref="N177:S177" si="29">N178+N190</f>
        <v>132087362</v>
      </c>
      <c r="O177" s="41">
        <f t="shared" si="29"/>
        <v>132059298.66000001</v>
      </c>
      <c r="P177" s="41">
        <f t="shared" si="29"/>
        <v>135199519</v>
      </c>
      <c r="Q177" s="41">
        <f t="shared" si="29"/>
        <v>129650319</v>
      </c>
      <c r="R177" s="41">
        <f t="shared" si="29"/>
        <v>126277386</v>
      </c>
      <c r="S177" s="41">
        <f t="shared" si="29"/>
        <v>123124786</v>
      </c>
    </row>
    <row r="178" spans="1:19" s="23" customFormat="1" ht="57" x14ac:dyDescent="0.2">
      <c r="A178" s="112">
        <v>2500</v>
      </c>
      <c r="B178" s="121" t="s">
        <v>542</v>
      </c>
      <c r="C178" s="17"/>
      <c r="D178" s="26"/>
      <c r="E178" s="17"/>
      <c r="F178" s="17"/>
      <c r="G178" s="17"/>
      <c r="H178" s="17"/>
      <c r="I178" s="17"/>
      <c r="J178" s="17"/>
      <c r="K178" s="17"/>
      <c r="L178" s="17"/>
      <c r="M178" s="17"/>
      <c r="N178" s="127">
        <f t="shared" ref="N178:S178" si="30">N179+N183+N186</f>
        <v>128923699</v>
      </c>
      <c r="O178" s="127">
        <f t="shared" si="30"/>
        <v>128918170.65000001</v>
      </c>
      <c r="P178" s="127">
        <f t="shared" si="30"/>
        <v>131604410</v>
      </c>
      <c r="Q178" s="127">
        <f t="shared" si="30"/>
        <v>126055210</v>
      </c>
      <c r="R178" s="127">
        <f>R179+R183+R186+R189</f>
        <v>122805231</v>
      </c>
      <c r="S178" s="127">
        <f t="shared" si="30"/>
        <v>119652631</v>
      </c>
    </row>
    <row r="179" spans="1:19" ht="90" customHeight="1" x14ac:dyDescent="0.25">
      <c r="A179" s="278">
        <v>2525</v>
      </c>
      <c r="B179" s="280" t="s">
        <v>552</v>
      </c>
      <c r="C179" s="278">
        <v>915</v>
      </c>
      <c r="D179" s="282" t="s">
        <v>299</v>
      </c>
      <c r="E179" s="10" t="s">
        <v>20</v>
      </c>
      <c r="F179" s="10" t="s">
        <v>171</v>
      </c>
      <c r="G179" s="10" t="s">
        <v>99</v>
      </c>
      <c r="H179" s="10" t="s">
        <v>174</v>
      </c>
      <c r="I179" s="10" t="s">
        <v>55</v>
      </c>
      <c r="J179" s="10" t="s">
        <v>175</v>
      </c>
      <c r="K179" s="10" t="s">
        <v>29</v>
      </c>
      <c r="L179" s="10" t="s">
        <v>176</v>
      </c>
      <c r="M179" s="74" t="s">
        <v>30</v>
      </c>
      <c r="N179" s="276">
        <v>49043053.439999998</v>
      </c>
      <c r="O179" s="276">
        <v>49043026.009999998</v>
      </c>
      <c r="P179" s="276">
        <v>48849326</v>
      </c>
      <c r="Q179" s="276">
        <v>45280726</v>
      </c>
      <c r="R179" s="276">
        <v>43931483</v>
      </c>
      <c r="S179" s="276">
        <v>43931483</v>
      </c>
    </row>
    <row r="180" spans="1:19" ht="120" x14ac:dyDescent="0.25">
      <c r="A180" s="289"/>
      <c r="B180" s="297"/>
      <c r="C180" s="289"/>
      <c r="D180" s="290"/>
      <c r="E180" s="10"/>
      <c r="F180" s="10"/>
      <c r="G180" s="10"/>
      <c r="H180" s="10"/>
      <c r="I180" s="10"/>
      <c r="J180" s="10"/>
      <c r="K180" s="27" t="s">
        <v>370</v>
      </c>
      <c r="L180" s="10"/>
      <c r="M180" s="74" t="s">
        <v>371</v>
      </c>
      <c r="N180" s="284"/>
      <c r="O180" s="284"/>
      <c r="P180" s="284"/>
      <c r="Q180" s="284"/>
      <c r="R180" s="284"/>
      <c r="S180" s="284"/>
    </row>
    <row r="181" spans="1:19" ht="135" x14ac:dyDescent="0.25">
      <c r="A181" s="289"/>
      <c r="B181" s="297"/>
      <c r="C181" s="289"/>
      <c r="D181" s="290"/>
      <c r="E181" s="10"/>
      <c r="F181" s="10"/>
      <c r="G181" s="10"/>
      <c r="H181" s="10"/>
      <c r="I181" s="10"/>
      <c r="J181" s="10"/>
      <c r="K181" s="73" t="s">
        <v>515</v>
      </c>
      <c r="L181" s="73"/>
      <c r="M181" s="230" t="s">
        <v>494</v>
      </c>
      <c r="N181" s="284"/>
      <c r="O181" s="284"/>
      <c r="P181" s="284"/>
      <c r="Q181" s="284"/>
      <c r="R181" s="284"/>
      <c r="S181" s="284"/>
    </row>
    <row r="182" spans="1:19" ht="60" x14ac:dyDescent="0.25">
      <c r="A182" s="279"/>
      <c r="B182" s="281"/>
      <c r="C182" s="279"/>
      <c r="D182" s="283"/>
      <c r="E182" s="10"/>
      <c r="F182" s="10"/>
      <c r="G182" s="10"/>
      <c r="H182" s="10"/>
      <c r="I182" s="10"/>
      <c r="J182" s="10"/>
      <c r="K182" s="216" t="s">
        <v>504</v>
      </c>
      <c r="L182" s="216"/>
      <c r="M182" s="218">
        <v>44218</v>
      </c>
      <c r="N182" s="277"/>
      <c r="O182" s="277"/>
      <c r="P182" s="277"/>
      <c r="Q182" s="277"/>
      <c r="R182" s="277"/>
      <c r="S182" s="277"/>
    </row>
    <row r="183" spans="1:19" ht="165" x14ac:dyDescent="0.25">
      <c r="A183" s="278">
        <v>2530</v>
      </c>
      <c r="B183" s="280" t="s">
        <v>317</v>
      </c>
      <c r="C183" s="278">
        <v>915</v>
      </c>
      <c r="D183" s="282" t="s">
        <v>318</v>
      </c>
      <c r="E183" s="10" t="s">
        <v>20</v>
      </c>
      <c r="F183" s="10" t="s">
        <v>319</v>
      </c>
      <c r="G183" s="10" t="s">
        <v>99</v>
      </c>
      <c r="H183" s="10" t="s">
        <v>325</v>
      </c>
      <c r="I183" s="10" t="s">
        <v>312</v>
      </c>
      <c r="J183" s="10" t="s">
        <v>326</v>
      </c>
      <c r="K183" s="10" t="s">
        <v>327</v>
      </c>
      <c r="L183" s="10"/>
      <c r="M183" s="10" t="s">
        <v>328</v>
      </c>
      <c r="N183" s="284">
        <v>37759516</v>
      </c>
      <c r="O183" s="284">
        <v>37759515.869999997</v>
      </c>
      <c r="P183" s="276">
        <v>37881074</v>
      </c>
      <c r="Q183" s="276">
        <v>37060446</v>
      </c>
      <c r="R183" s="284">
        <v>36161741</v>
      </c>
      <c r="S183" s="284">
        <v>36161741</v>
      </c>
    </row>
    <row r="184" spans="1:19" ht="135" x14ac:dyDescent="0.25">
      <c r="A184" s="289"/>
      <c r="B184" s="297"/>
      <c r="C184" s="289"/>
      <c r="D184" s="290"/>
      <c r="E184" s="10" t="s">
        <v>320</v>
      </c>
      <c r="F184" s="10" t="s">
        <v>55</v>
      </c>
      <c r="G184" s="10" t="s">
        <v>321</v>
      </c>
      <c r="H184" s="10"/>
      <c r="I184" s="10"/>
      <c r="J184" s="10"/>
      <c r="K184" s="10" t="s">
        <v>329</v>
      </c>
      <c r="L184" s="10"/>
      <c r="M184" s="10" t="s">
        <v>328</v>
      </c>
      <c r="N184" s="284"/>
      <c r="O184" s="284"/>
      <c r="P184" s="284"/>
      <c r="Q184" s="284"/>
      <c r="R184" s="284"/>
      <c r="S184" s="284"/>
    </row>
    <row r="185" spans="1:19" ht="120" x14ac:dyDescent="0.25">
      <c r="A185" s="289"/>
      <c r="B185" s="297"/>
      <c r="C185" s="289"/>
      <c r="D185" s="290"/>
      <c r="E185" s="10" t="s">
        <v>322</v>
      </c>
      <c r="F185" s="10" t="s">
        <v>324</v>
      </c>
      <c r="G185" s="10" t="s">
        <v>323</v>
      </c>
      <c r="H185" s="10"/>
      <c r="I185" s="10"/>
      <c r="J185" s="10"/>
      <c r="K185" s="216" t="s">
        <v>330</v>
      </c>
      <c r="L185" s="10"/>
      <c r="M185" s="10" t="s">
        <v>331</v>
      </c>
      <c r="N185" s="284"/>
      <c r="O185" s="284"/>
      <c r="P185" s="277"/>
      <c r="Q185" s="277"/>
      <c r="R185" s="284"/>
      <c r="S185" s="284"/>
    </row>
    <row r="186" spans="1:19" ht="105" x14ac:dyDescent="0.25">
      <c r="A186" s="278">
        <v>2531</v>
      </c>
      <c r="B186" s="280" t="s">
        <v>332</v>
      </c>
      <c r="C186" s="278">
        <v>915</v>
      </c>
      <c r="D186" s="282" t="s">
        <v>318</v>
      </c>
      <c r="E186" s="10" t="s">
        <v>20</v>
      </c>
      <c r="F186" s="10" t="s">
        <v>333</v>
      </c>
      <c r="G186" s="10" t="s">
        <v>99</v>
      </c>
      <c r="H186" s="10" t="s">
        <v>255</v>
      </c>
      <c r="I186" s="10" t="s">
        <v>337</v>
      </c>
      <c r="J186" s="10" t="s">
        <v>256</v>
      </c>
      <c r="K186" s="10" t="s">
        <v>338</v>
      </c>
      <c r="L186" s="10"/>
      <c r="M186" s="10" t="s">
        <v>328</v>
      </c>
      <c r="N186" s="276">
        <f>79880645.56-N183</f>
        <v>42121129.560000002</v>
      </c>
      <c r="O186" s="276">
        <f>79875144.64-O183</f>
        <v>42115628.770000003</v>
      </c>
      <c r="P186" s="50">
        <f>82755084-P183</f>
        <v>44874010</v>
      </c>
      <c r="Q186" s="50">
        <f>80774484-Q183</f>
        <v>43714038</v>
      </c>
      <c r="R186" s="276">
        <f>78873748-R183-R189</f>
        <v>39069507</v>
      </c>
      <c r="S186" s="276">
        <v>39559407</v>
      </c>
    </row>
    <row r="187" spans="1:19" ht="150" x14ac:dyDescent="0.25">
      <c r="A187" s="289"/>
      <c r="B187" s="297"/>
      <c r="C187" s="289"/>
      <c r="D187" s="290"/>
      <c r="E187" s="10" t="s">
        <v>334</v>
      </c>
      <c r="F187" s="10" t="s">
        <v>335</v>
      </c>
      <c r="G187" s="10" t="s">
        <v>336</v>
      </c>
      <c r="H187" s="10"/>
      <c r="I187" s="10"/>
      <c r="J187" s="10"/>
      <c r="K187" s="10" t="s">
        <v>339</v>
      </c>
      <c r="L187" s="10"/>
      <c r="M187" s="10" t="s">
        <v>328</v>
      </c>
      <c r="N187" s="284"/>
      <c r="O187" s="284"/>
      <c r="P187" s="52"/>
      <c r="Q187" s="52"/>
      <c r="R187" s="284"/>
      <c r="S187" s="284"/>
    </row>
    <row r="188" spans="1:19" ht="150" x14ac:dyDescent="0.25">
      <c r="A188" s="279"/>
      <c r="B188" s="281"/>
      <c r="C188" s="279"/>
      <c r="D188" s="283"/>
      <c r="E188" s="10"/>
      <c r="F188" s="10"/>
      <c r="G188" s="10"/>
      <c r="H188" s="10"/>
      <c r="I188" s="10"/>
      <c r="J188" s="10"/>
      <c r="K188" s="10" t="s">
        <v>340</v>
      </c>
      <c r="L188" s="10"/>
      <c r="M188" s="10" t="s">
        <v>328</v>
      </c>
      <c r="N188" s="277"/>
      <c r="O188" s="277"/>
      <c r="P188" s="51"/>
      <c r="Q188" s="51"/>
      <c r="R188" s="277"/>
      <c r="S188" s="277"/>
    </row>
    <row r="189" spans="1:19" ht="180" x14ac:dyDescent="0.25">
      <c r="A189" s="264">
        <v>2538</v>
      </c>
      <c r="B189" s="266" t="s">
        <v>558</v>
      </c>
      <c r="C189" s="265">
        <v>915</v>
      </c>
      <c r="D189" s="267" t="s">
        <v>318</v>
      </c>
      <c r="E189" s="10" t="s">
        <v>559</v>
      </c>
      <c r="F189" s="10"/>
      <c r="G189" s="10" t="s">
        <v>560</v>
      </c>
      <c r="H189" s="10" t="s">
        <v>561</v>
      </c>
      <c r="I189" s="10"/>
      <c r="J189" s="10" t="s">
        <v>562</v>
      </c>
      <c r="K189" s="10"/>
      <c r="L189" s="10"/>
      <c r="M189" s="10"/>
      <c r="N189" s="268"/>
      <c r="O189" s="268"/>
      <c r="P189" s="268"/>
      <c r="Q189" s="268"/>
      <c r="R189" s="268">
        <v>3642500</v>
      </c>
      <c r="S189" s="268"/>
    </row>
    <row r="190" spans="1:19" s="23" customFormat="1" ht="114" x14ac:dyDescent="0.2">
      <c r="A190" s="85">
        <v>2600</v>
      </c>
      <c r="B190" s="28" t="s">
        <v>543</v>
      </c>
      <c r="C190" s="17"/>
      <c r="D190" s="26"/>
      <c r="E190" s="17"/>
      <c r="F190" s="17"/>
      <c r="G190" s="17"/>
      <c r="H190" s="17"/>
      <c r="I190" s="17"/>
      <c r="J190" s="17"/>
      <c r="K190" s="17"/>
      <c r="L190" s="17"/>
      <c r="M190" s="17"/>
      <c r="N190" s="40">
        <f>N191</f>
        <v>3163663</v>
      </c>
      <c r="O190" s="40">
        <f t="shared" ref="O190:S190" si="31">O191</f>
        <v>3141128.01</v>
      </c>
      <c r="P190" s="40">
        <f t="shared" si="31"/>
        <v>3595109</v>
      </c>
      <c r="Q190" s="40">
        <f t="shared" si="31"/>
        <v>3595109</v>
      </c>
      <c r="R190" s="40">
        <f t="shared" si="31"/>
        <v>3472155</v>
      </c>
      <c r="S190" s="40">
        <f t="shared" si="31"/>
        <v>3472155</v>
      </c>
    </row>
    <row r="191" spans="1:19" ht="105" x14ac:dyDescent="0.25">
      <c r="A191" s="278" t="s">
        <v>532</v>
      </c>
      <c r="B191" s="280" t="s">
        <v>383</v>
      </c>
      <c r="C191" s="278">
        <v>915</v>
      </c>
      <c r="D191" s="282" t="s">
        <v>315</v>
      </c>
      <c r="E191" s="10" t="s">
        <v>20</v>
      </c>
      <c r="F191" s="10" t="s">
        <v>33</v>
      </c>
      <c r="G191" s="9" t="s">
        <v>21</v>
      </c>
      <c r="H191" s="10" t="s">
        <v>24</v>
      </c>
      <c r="I191" s="11" t="s">
        <v>25</v>
      </c>
      <c r="J191" s="9" t="s">
        <v>26</v>
      </c>
      <c r="K191" s="10" t="s">
        <v>29</v>
      </c>
      <c r="L191" s="4"/>
      <c r="M191" s="10" t="s">
        <v>30</v>
      </c>
      <c r="N191" s="338">
        <v>3163663</v>
      </c>
      <c r="O191" s="338">
        <v>3141128.01</v>
      </c>
      <c r="P191" s="276">
        <v>3595109</v>
      </c>
      <c r="Q191" s="276">
        <v>3595109</v>
      </c>
      <c r="R191" s="338">
        <v>3472155</v>
      </c>
      <c r="S191" s="338">
        <v>3472155</v>
      </c>
    </row>
    <row r="192" spans="1:19" ht="285" x14ac:dyDescent="0.25">
      <c r="A192" s="279"/>
      <c r="B192" s="281"/>
      <c r="C192" s="279"/>
      <c r="D192" s="283"/>
      <c r="E192" s="9" t="s">
        <v>22</v>
      </c>
      <c r="F192" s="7" t="s">
        <v>25</v>
      </c>
      <c r="G192" s="9" t="s">
        <v>23</v>
      </c>
      <c r="H192" s="10" t="s">
        <v>27</v>
      </c>
      <c r="I192" s="11" t="s">
        <v>25</v>
      </c>
      <c r="J192" s="10" t="s">
        <v>28</v>
      </c>
      <c r="K192" s="10" t="s">
        <v>316</v>
      </c>
      <c r="L192" s="11"/>
      <c r="M192" s="10" t="s">
        <v>298</v>
      </c>
      <c r="N192" s="339"/>
      <c r="O192" s="339"/>
      <c r="P192" s="277"/>
      <c r="Q192" s="277"/>
      <c r="R192" s="339"/>
      <c r="S192" s="339"/>
    </row>
    <row r="193" spans="1:19" s="23" customFormat="1" ht="28.5" x14ac:dyDescent="0.2">
      <c r="A193" s="33"/>
      <c r="B193" s="32" t="s">
        <v>341</v>
      </c>
      <c r="C193" s="33">
        <v>916</v>
      </c>
      <c r="D193" s="34"/>
      <c r="E193" s="32"/>
      <c r="F193" s="32"/>
      <c r="G193" s="32"/>
      <c r="H193" s="32"/>
      <c r="I193" s="32"/>
      <c r="J193" s="32"/>
      <c r="K193" s="32"/>
      <c r="L193" s="32"/>
      <c r="M193" s="32"/>
      <c r="N193" s="41">
        <f t="shared" ref="N193:S193" si="32">N194+N202</f>
        <v>12208383</v>
      </c>
      <c r="O193" s="41">
        <f t="shared" si="32"/>
        <v>12076488.82</v>
      </c>
      <c r="P193" s="41">
        <f t="shared" si="32"/>
        <v>17046684</v>
      </c>
      <c r="Q193" s="41">
        <f t="shared" si="32"/>
        <v>11912164</v>
      </c>
      <c r="R193" s="41">
        <f t="shared" si="32"/>
        <v>11393164</v>
      </c>
      <c r="S193" s="41">
        <f t="shared" si="32"/>
        <v>11393164</v>
      </c>
    </row>
    <row r="194" spans="1:19" s="23" customFormat="1" ht="57" x14ac:dyDescent="0.2">
      <c r="A194" s="112">
        <v>2500</v>
      </c>
      <c r="B194" s="121" t="s">
        <v>542</v>
      </c>
      <c r="C194" s="35"/>
      <c r="D194" s="36"/>
      <c r="E194" s="35"/>
      <c r="F194" s="35"/>
      <c r="G194" s="35"/>
      <c r="H194" s="35"/>
      <c r="I194" s="35"/>
      <c r="J194" s="35"/>
      <c r="K194" s="35"/>
      <c r="L194" s="35"/>
      <c r="M194" s="35"/>
      <c r="N194" s="45">
        <f>N198+N200+N195</f>
        <v>1687595</v>
      </c>
      <c r="O194" s="45">
        <f t="shared" ref="O194:S194" si="33">O198+O200+O195</f>
        <v>1606350</v>
      </c>
      <c r="P194" s="45">
        <f t="shared" si="33"/>
        <v>5033520</v>
      </c>
      <c r="Q194" s="45">
        <f t="shared" si="33"/>
        <v>499000</v>
      </c>
      <c r="R194" s="45">
        <f t="shared" si="33"/>
        <v>0</v>
      </c>
      <c r="S194" s="45">
        <f t="shared" si="33"/>
        <v>0</v>
      </c>
    </row>
    <row r="195" spans="1:19" ht="270" x14ac:dyDescent="0.25">
      <c r="A195" s="278">
        <v>2504</v>
      </c>
      <c r="B195" s="280" t="s">
        <v>98</v>
      </c>
      <c r="C195" s="326">
        <v>916</v>
      </c>
      <c r="D195" s="340" t="s">
        <v>34</v>
      </c>
      <c r="E195" s="10" t="s">
        <v>20</v>
      </c>
      <c r="F195" s="10" t="s">
        <v>102</v>
      </c>
      <c r="G195" s="10" t="s">
        <v>99</v>
      </c>
      <c r="H195" s="10" t="s">
        <v>109</v>
      </c>
      <c r="I195" s="10" t="s">
        <v>55</v>
      </c>
      <c r="J195" s="10" t="s">
        <v>26</v>
      </c>
      <c r="K195" s="10" t="s">
        <v>424</v>
      </c>
      <c r="L195" s="10"/>
      <c r="M195" s="10" t="s">
        <v>114</v>
      </c>
      <c r="N195" s="305">
        <v>0</v>
      </c>
      <c r="O195" s="305">
        <v>0</v>
      </c>
      <c r="P195" s="276">
        <v>209000</v>
      </c>
      <c r="Q195" s="276">
        <v>100000</v>
      </c>
      <c r="R195" s="343"/>
      <c r="S195" s="343"/>
    </row>
    <row r="196" spans="1:19" ht="105" x14ac:dyDescent="0.25">
      <c r="A196" s="289"/>
      <c r="B196" s="297"/>
      <c r="C196" s="327"/>
      <c r="D196" s="341"/>
      <c r="E196" s="10" t="s">
        <v>100</v>
      </c>
      <c r="F196" s="10" t="s">
        <v>101</v>
      </c>
      <c r="G196" s="10" t="s">
        <v>103</v>
      </c>
      <c r="H196" s="10" t="s">
        <v>110</v>
      </c>
      <c r="I196" s="10" t="s">
        <v>55</v>
      </c>
      <c r="J196" s="10" t="s">
        <v>111</v>
      </c>
      <c r="K196" s="10" t="s">
        <v>458</v>
      </c>
      <c r="L196" s="10"/>
      <c r="M196" s="10" t="s">
        <v>459</v>
      </c>
      <c r="N196" s="306"/>
      <c r="O196" s="306"/>
      <c r="P196" s="284"/>
      <c r="Q196" s="284"/>
      <c r="R196" s="344"/>
      <c r="S196" s="344"/>
    </row>
    <row r="197" spans="1:19" ht="195" x14ac:dyDescent="0.25">
      <c r="A197" s="289"/>
      <c r="B197" s="297"/>
      <c r="C197" s="328"/>
      <c r="D197" s="342"/>
      <c r="E197" s="10" t="s">
        <v>104</v>
      </c>
      <c r="F197" s="10" t="s">
        <v>105</v>
      </c>
      <c r="G197" s="10" t="s">
        <v>106</v>
      </c>
      <c r="H197" s="10" t="s">
        <v>112</v>
      </c>
      <c r="I197" s="10" t="s">
        <v>55</v>
      </c>
      <c r="J197" s="10" t="s">
        <v>113</v>
      </c>
      <c r="K197" s="10" t="s">
        <v>117</v>
      </c>
      <c r="L197" s="10"/>
      <c r="M197" s="10" t="s">
        <v>118</v>
      </c>
      <c r="N197" s="307"/>
      <c r="O197" s="307"/>
      <c r="P197" s="277"/>
      <c r="Q197" s="277"/>
      <c r="R197" s="345"/>
      <c r="S197" s="345"/>
    </row>
    <row r="198" spans="1:19" ht="75" x14ac:dyDescent="0.25">
      <c r="A198" s="278">
        <v>2544</v>
      </c>
      <c r="B198" s="280" t="s">
        <v>123</v>
      </c>
      <c r="C198" s="278">
        <v>916</v>
      </c>
      <c r="D198" s="282" t="s">
        <v>124</v>
      </c>
      <c r="E198" s="280" t="s">
        <v>20</v>
      </c>
      <c r="F198" s="280" t="s">
        <v>125</v>
      </c>
      <c r="G198" s="280" t="s">
        <v>99</v>
      </c>
      <c r="H198" s="10" t="s">
        <v>126</v>
      </c>
      <c r="I198" s="10" t="s">
        <v>127</v>
      </c>
      <c r="J198" s="10" t="s">
        <v>128</v>
      </c>
      <c r="K198" s="10" t="s">
        <v>29</v>
      </c>
      <c r="L198" s="10"/>
      <c r="M198" s="10" t="s">
        <v>38</v>
      </c>
      <c r="N198" s="276">
        <v>1280600</v>
      </c>
      <c r="O198" s="276">
        <v>1280600</v>
      </c>
      <c r="P198" s="50">
        <v>4534520</v>
      </c>
      <c r="Q198" s="50">
        <v>299000</v>
      </c>
      <c r="R198" s="276">
        <v>0</v>
      </c>
      <c r="S198" s="276">
        <v>0</v>
      </c>
    </row>
    <row r="199" spans="1:19" ht="75" x14ac:dyDescent="0.25">
      <c r="A199" s="279"/>
      <c r="B199" s="281"/>
      <c r="C199" s="279"/>
      <c r="D199" s="283"/>
      <c r="E199" s="281"/>
      <c r="F199" s="281"/>
      <c r="G199" s="281"/>
      <c r="H199" s="10"/>
      <c r="I199" s="10"/>
      <c r="J199" s="10"/>
      <c r="K199" s="10" t="s">
        <v>129</v>
      </c>
      <c r="L199" s="10"/>
      <c r="M199" s="10" t="s">
        <v>130</v>
      </c>
      <c r="N199" s="277"/>
      <c r="O199" s="277"/>
      <c r="P199" s="51"/>
      <c r="Q199" s="51"/>
      <c r="R199" s="277"/>
      <c r="S199" s="277"/>
    </row>
    <row r="200" spans="1:19" ht="90" x14ac:dyDescent="0.25">
      <c r="A200" s="278">
        <v>2545</v>
      </c>
      <c r="B200" s="280" t="s">
        <v>342</v>
      </c>
      <c r="C200" s="278">
        <v>916</v>
      </c>
      <c r="D200" s="282" t="s">
        <v>34</v>
      </c>
      <c r="E200" s="10" t="s">
        <v>20</v>
      </c>
      <c r="F200" s="10" t="s">
        <v>54</v>
      </c>
      <c r="G200" s="10" t="s">
        <v>99</v>
      </c>
      <c r="H200" s="278"/>
      <c r="I200" s="278"/>
      <c r="J200" s="278"/>
      <c r="K200" s="20" t="s">
        <v>346</v>
      </c>
      <c r="L200" s="10"/>
      <c r="M200" s="10" t="s">
        <v>347</v>
      </c>
      <c r="N200" s="276">
        <v>406995</v>
      </c>
      <c r="O200" s="276">
        <v>325750</v>
      </c>
      <c r="P200" s="50">
        <v>290000</v>
      </c>
      <c r="Q200" s="50">
        <v>100000</v>
      </c>
      <c r="R200" s="276">
        <v>0</v>
      </c>
      <c r="S200" s="276">
        <v>0</v>
      </c>
    </row>
    <row r="201" spans="1:19" ht="45" x14ac:dyDescent="0.25">
      <c r="A201" s="279"/>
      <c r="B201" s="281"/>
      <c r="C201" s="279"/>
      <c r="D201" s="283"/>
      <c r="E201" s="10" t="s">
        <v>343</v>
      </c>
      <c r="F201" s="10" t="s">
        <v>344</v>
      </c>
      <c r="G201" s="10" t="s">
        <v>345</v>
      </c>
      <c r="H201" s="279"/>
      <c r="I201" s="279"/>
      <c r="J201" s="279"/>
      <c r="K201" s="9"/>
      <c r="L201" s="10"/>
      <c r="M201" s="10"/>
      <c r="N201" s="277"/>
      <c r="O201" s="277"/>
      <c r="P201" s="51"/>
      <c r="Q201" s="51"/>
      <c r="R201" s="277"/>
      <c r="S201" s="277"/>
    </row>
    <row r="202" spans="1:19" s="23" customFormat="1" ht="114" x14ac:dyDescent="0.2">
      <c r="A202" s="85">
        <v>2600</v>
      </c>
      <c r="B202" s="28" t="s">
        <v>543</v>
      </c>
      <c r="C202" s="35"/>
      <c r="D202" s="36"/>
      <c r="E202" s="35"/>
      <c r="F202" s="35"/>
      <c r="G202" s="35"/>
      <c r="H202" s="35"/>
      <c r="I202" s="35"/>
      <c r="J202" s="35"/>
      <c r="K202" s="35"/>
      <c r="L202" s="35"/>
      <c r="M202" s="35"/>
      <c r="N202" s="45">
        <f>N203</f>
        <v>10520788</v>
      </c>
      <c r="O202" s="45">
        <f t="shared" ref="O202:S202" si="34">O203</f>
        <v>10470138.82</v>
      </c>
      <c r="P202" s="45">
        <f t="shared" si="34"/>
        <v>12013164</v>
      </c>
      <c r="Q202" s="45">
        <f t="shared" si="34"/>
        <v>11413164</v>
      </c>
      <c r="R202" s="45">
        <f t="shared" si="34"/>
        <v>11393164</v>
      </c>
      <c r="S202" s="45">
        <f t="shared" si="34"/>
        <v>11393164</v>
      </c>
    </row>
    <row r="203" spans="1:19" ht="105" x14ac:dyDescent="0.25">
      <c r="A203" s="278" t="s">
        <v>532</v>
      </c>
      <c r="B203" s="280" t="s">
        <v>382</v>
      </c>
      <c r="C203" s="278">
        <v>916</v>
      </c>
      <c r="D203" s="21" t="s">
        <v>34</v>
      </c>
      <c r="E203" s="10" t="s">
        <v>20</v>
      </c>
      <c r="F203" s="10" t="s">
        <v>33</v>
      </c>
      <c r="G203" s="9" t="s">
        <v>21</v>
      </c>
      <c r="H203" s="10" t="s">
        <v>24</v>
      </c>
      <c r="I203" s="11" t="s">
        <v>25</v>
      </c>
      <c r="J203" s="9" t="s">
        <v>26</v>
      </c>
      <c r="K203" s="10" t="s">
        <v>29</v>
      </c>
      <c r="L203" s="10"/>
      <c r="M203" s="10" t="s">
        <v>30</v>
      </c>
      <c r="N203" s="276">
        <v>10520788</v>
      </c>
      <c r="O203" s="276">
        <v>10470138.82</v>
      </c>
      <c r="P203" s="97">
        <v>12013164</v>
      </c>
      <c r="Q203" s="97">
        <v>11413164</v>
      </c>
      <c r="R203" s="276">
        <v>11393164</v>
      </c>
      <c r="S203" s="276">
        <v>11393164</v>
      </c>
    </row>
    <row r="204" spans="1:19" ht="285" x14ac:dyDescent="0.25">
      <c r="A204" s="279"/>
      <c r="B204" s="281"/>
      <c r="C204" s="279"/>
      <c r="D204" s="21"/>
      <c r="E204" s="9" t="s">
        <v>22</v>
      </c>
      <c r="F204" s="7" t="s">
        <v>25</v>
      </c>
      <c r="G204" s="9" t="s">
        <v>23</v>
      </c>
      <c r="H204" s="10" t="s">
        <v>27</v>
      </c>
      <c r="I204" s="11" t="s">
        <v>25</v>
      </c>
      <c r="J204" s="10" t="s">
        <v>28</v>
      </c>
      <c r="K204" s="10" t="s">
        <v>458</v>
      </c>
      <c r="L204" s="10"/>
      <c r="M204" s="10" t="s">
        <v>459</v>
      </c>
      <c r="N204" s="277"/>
      <c r="O204" s="277"/>
      <c r="P204" s="98"/>
      <c r="Q204" s="98"/>
      <c r="R204" s="277"/>
      <c r="S204" s="277"/>
    </row>
    <row r="205" spans="1:19" s="23" customFormat="1" ht="14.25" x14ac:dyDescent="0.2">
      <c r="A205" s="33"/>
      <c r="B205" s="32" t="s">
        <v>349</v>
      </c>
      <c r="C205" s="33">
        <v>917</v>
      </c>
      <c r="D205" s="34"/>
      <c r="E205" s="32"/>
      <c r="F205" s="32"/>
      <c r="G205" s="32"/>
      <c r="H205" s="32"/>
      <c r="I205" s="32"/>
      <c r="J205" s="32"/>
      <c r="K205" s="32"/>
      <c r="L205" s="32"/>
      <c r="M205" s="32"/>
      <c r="N205" s="41">
        <f>N206</f>
        <v>5370318</v>
      </c>
      <c r="O205" s="41">
        <f t="shared" ref="O205:S206" si="35">O206</f>
        <v>5370318</v>
      </c>
      <c r="P205" s="41">
        <f t="shared" si="35"/>
        <v>7491790</v>
      </c>
      <c r="Q205" s="41">
        <f t="shared" si="35"/>
        <v>7491790</v>
      </c>
      <c r="R205" s="41">
        <f t="shared" si="35"/>
        <v>7460149</v>
      </c>
      <c r="S205" s="41">
        <f t="shared" si="35"/>
        <v>7460149</v>
      </c>
    </row>
    <row r="206" spans="1:19" s="23" customFormat="1" ht="114" x14ac:dyDescent="0.2">
      <c r="A206" s="85">
        <v>2600</v>
      </c>
      <c r="B206" s="28" t="s">
        <v>543</v>
      </c>
      <c r="C206" s="17"/>
      <c r="D206" s="26"/>
      <c r="E206" s="17"/>
      <c r="F206" s="17"/>
      <c r="G206" s="17"/>
      <c r="H206" s="17"/>
      <c r="I206" s="17"/>
      <c r="J206" s="17"/>
      <c r="K206" s="17"/>
      <c r="L206" s="17"/>
      <c r="M206" s="17"/>
      <c r="N206" s="40">
        <f>N207</f>
        <v>5370318</v>
      </c>
      <c r="O206" s="40">
        <f t="shared" si="35"/>
        <v>5370318</v>
      </c>
      <c r="P206" s="40">
        <f t="shared" si="35"/>
        <v>7491790</v>
      </c>
      <c r="Q206" s="40">
        <f t="shared" si="35"/>
        <v>7491790</v>
      </c>
      <c r="R206" s="40">
        <f t="shared" si="35"/>
        <v>7460149</v>
      </c>
      <c r="S206" s="40">
        <f t="shared" si="35"/>
        <v>7460149</v>
      </c>
    </row>
    <row r="207" spans="1:19" ht="105" x14ac:dyDescent="0.25">
      <c r="A207" s="278" t="s">
        <v>532</v>
      </c>
      <c r="B207" s="280" t="s">
        <v>383</v>
      </c>
      <c r="C207" s="278">
        <v>917</v>
      </c>
      <c r="D207" s="282" t="s">
        <v>350</v>
      </c>
      <c r="E207" s="10" t="s">
        <v>20</v>
      </c>
      <c r="F207" s="10" t="s">
        <v>33</v>
      </c>
      <c r="G207" s="9" t="s">
        <v>21</v>
      </c>
      <c r="H207" s="10" t="s">
        <v>24</v>
      </c>
      <c r="I207" s="11" t="s">
        <v>25</v>
      </c>
      <c r="J207" s="9" t="s">
        <v>26</v>
      </c>
      <c r="K207" s="10" t="s">
        <v>29</v>
      </c>
      <c r="L207" s="10"/>
      <c r="M207" s="10" t="s">
        <v>38</v>
      </c>
      <c r="N207" s="276">
        <v>5370318</v>
      </c>
      <c r="O207" s="276">
        <v>5370318</v>
      </c>
      <c r="P207" s="50">
        <v>7491790</v>
      </c>
      <c r="Q207" s="50">
        <v>7491790</v>
      </c>
      <c r="R207" s="276">
        <v>7460149</v>
      </c>
      <c r="S207" s="276">
        <v>7460149</v>
      </c>
    </row>
    <row r="208" spans="1:19" ht="285" x14ac:dyDescent="0.25">
      <c r="A208" s="279"/>
      <c r="B208" s="281"/>
      <c r="C208" s="279"/>
      <c r="D208" s="283"/>
      <c r="E208" s="9" t="s">
        <v>22</v>
      </c>
      <c r="F208" s="7" t="s">
        <v>25</v>
      </c>
      <c r="G208" s="9" t="s">
        <v>23</v>
      </c>
      <c r="H208" s="10" t="s">
        <v>27</v>
      </c>
      <c r="I208" s="11" t="s">
        <v>25</v>
      </c>
      <c r="J208" s="10" t="s">
        <v>28</v>
      </c>
      <c r="K208" s="27"/>
      <c r="L208" s="10"/>
      <c r="M208" s="10"/>
      <c r="N208" s="277"/>
      <c r="O208" s="277"/>
      <c r="P208" s="51"/>
      <c r="Q208" s="51"/>
      <c r="R208" s="277"/>
      <c r="S208" s="277"/>
    </row>
    <row r="209" spans="1:19" s="23" customFormat="1" ht="28.5" x14ac:dyDescent="0.2">
      <c r="A209" s="33"/>
      <c r="B209" s="32" t="s">
        <v>352</v>
      </c>
      <c r="C209" s="33">
        <v>918</v>
      </c>
      <c r="D209" s="34"/>
      <c r="E209" s="32"/>
      <c r="F209" s="32"/>
      <c r="G209" s="32"/>
      <c r="H209" s="32"/>
      <c r="I209" s="32"/>
      <c r="J209" s="32"/>
      <c r="K209" s="32"/>
      <c r="L209" s="32"/>
      <c r="M209" s="32"/>
      <c r="N209" s="41">
        <f>N210</f>
        <v>1943710</v>
      </c>
      <c r="O209" s="41">
        <f t="shared" ref="O209:S210" si="36">O210</f>
        <v>1943710</v>
      </c>
      <c r="P209" s="41">
        <f t="shared" si="36"/>
        <v>1979738</v>
      </c>
      <c r="Q209" s="41">
        <f t="shared" si="36"/>
        <v>1979738</v>
      </c>
      <c r="R209" s="41">
        <f t="shared" si="36"/>
        <v>1975566</v>
      </c>
      <c r="S209" s="41">
        <f t="shared" si="36"/>
        <v>1975566</v>
      </c>
    </row>
    <row r="210" spans="1:19" s="23" customFormat="1" ht="114" x14ac:dyDescent="0.2">
      <c r="A210" s="85">
        <v>2600</v>
      </c>
      <c r="B210" s="28" t="s">
        <v>543</v>
      </c>
      <c r="C210" s="17"/>
      <c r="D210" s="26"/>
      <c r="E210" s="17"/>
      <c r="F210" s="17"/>
      <c r="G210" s="17"/>
      <c r="H210" s="17"/>
      <c r="I210" s="17"/>
      <c r="J210" s="17"/>
      <c r="K210" s="17"/>
      <c r="L210" s="17"/>
      <c r="M210" s="17"/>
      <c r="N210" s="40">
        <f>N211</f>
        <v>1943710</v>
      </c>
      <c r="O210" s="40">
        <f t="shared" si="36"/>
        <v>1943710</v>
      </c>
      <c r="P210" s="40">
        <f t="shared" si="36"/>
        <v>1979738</v>
      </c>
      <c r="Q210" s="40">
        <f t="shared" si="36"/>
        <v>1979738</v>
      </c>
      <c r="R210" s="40">
        <f t="shared" si="36"/>
        <v>1975566</v>
      </c>
      <c r="S210" s="40">
        <f t="shared" si="36"/>
        <v>1975566</v>
      </c>
    </row>
    <row r="211" spans="1:19" ht="105" x14ac:dyDescent="0.25">
      <c r="A211" s="278" t="s">
        <v>532</v>
      </c>
      <c r="B211" s="280" t="s">
        <v>383</v>
      </c>
      <c r="C211" s="278">
        <v>918</v>
      </c>
      <c r="D211" s="282" t="s">
        <v>351</v>
      </c>
      <c r="E211" s="10" t="s">
        <v>20</v>
      </c>
      <c r="F211" s="10" t="s">
        <v>33</v>
      </c>
      <c r="G211" s="9" t="s">
        <v>21</v>
      </c>
      <c r="H211" s="10" t="s">
        <v>24</v>
      </c>
      <c r="I211" s="11" t="s">
        <v>25</v>
      </c>
      <c r="J211" s="9" t="s">
        <v>26</v>
      </c>
      <c r="K211" s="10" t="s">
        <v>29</v>
      </c>
      <c r="L211" s="10"/>
      <c r="M211" s="10"/>
      <c r="N211" s="276">
        <v>1943710</v>
      </c>
      <c r="O211" s="276">
        <v>1943710</v>
      </c>
      <c r="P211" s="50">
        <v>1979738</v>
      </c>
      <c r="Q211" s="50">
        <v>1979738</v>
      </c>
      <c r="R211" s="276">
        <v>1975566</v>
      </c>
      <c r="S211" s="276">
        <v>1975566</v>
      </c>
    </row>
    <row r="212" spans="1:19" ht="285" x14ac:dyDescent="0.25">
      <c r="A212" s="279"/>
      <c r="B212" s="281"/>
      <c r="C212" s="279"/>
      <c r="D212" s="283"/>
      <c r="E212" s="9" t="s">
        <v>22</v>
      </c>
      <c r="F212" s="7" t="s">
        <v>25</v>
      </c>
      <c r="G212" s="9" t="s">
        <v>23</v>
      </c>
      <c r="H212" s="10" t="s">
        <v>27</v>
      </c>
      <c r="I212" s="11" t="s">
        <v>25</v>
      </c>
      <c r="J212" s="10" t="s">
        <v>28</v>
      </c>
      <c r="K212" s="10" t="s">
        <v>143</v>
      </c>
      <c r="L212" s="10"/>
      <c r="M212" s="10" t="s">
        <v>144</v>
      </c>
      <c r="N212" s="277"/>
      <c r="O212" s="277"/>
      <c r="P212" s="51"/>
      <c r="Q212" s="51"/>
      <c r="R212" s="277"/>
      <c r="S212" s="277"/>
    </row>
    <row r="213" spans="1:19" x14ac:dyDescent="0.25">
      <c r="A213" s="84">
        <v>2500</v>
      </c>
      <c r="B213" s="271" t="s">
        <v>417</v>
      </c>
      <c r="C213" s="274"/>
      <c r="D213" s="274"/>
      <c r="E213" s="274"/>
      <c r="F213" s="274"/>
      <c r="G213" s="274"/>
      <c r="H213" s="274"/>
      <c r="I213" s="274"/>
      <c r="J213" s="274"/>
      <c r="K213" s="274"/>
      <c r="L213" s="274"/>
      <c r="M213" s="275"/>
      <c r="N213" s="46">
        <f>N10+N47+N63+N74+N82+N120+N160+N178+N194</f>
        <v>1224377195.8600001</v>
      </c>
      <c r="O213" s="46">
        <f>O10+O47+O63+O74+O82+O120+O160+O178+O194</f>
        <v>1198754114.9000001</v>
      </c>
      <c r="P213" s="46">
        <f>P10+P47+P63+P74+P82+P120+P160+P178+P194</f>
        <v>1385955588.0399997</v>
      </c>
      <c r="Q213" s="46">
        <f>Q10+Q47+Q63+Q74+Q82+Q120+Q160+Q178+Q194</f>
        <v>1045817412.23</v>
      </c>
      <c r="R213" s="46">
        <f>R10+R47+R63+R74+R82+R120+R160+R178+R194</f>
        <v>1003033690.9</v>
      </c>
      <c r="S213" s="46">
        <f>S10+S47+S63+S74+S82+S120+S160+S178+S194</f>
        <v>904369518</v>
      </c>
    </row>
    <row r="214" spans="1:19" x14ac:dyDescent="0.25">
      <c r="A214" s="16">
        <v>2600</v>
      </c>
      <c r="B214" s="271" t="s">
        <v>543</v>
      </c>
      <c r="C214" s="274"/>
      <c r="D214" s="274"/>
      <c r="E214" s="274"/>
      <c r="F214" s="274"/>
      <c r="G214" s="274"/>
      <c r="H214" s="274"/>
      <c r="I214" s="274"/>
      <c r="J214" s="274"/>
      <c r="K214" s="274"/>
      <c r="L214" s="274"/>
      <c r="M214" s="275"/>
      <c r="N214" s="46">
        <f t="shared" ref="N214:S214" si="37">N25+N55+N65+N97+N117+N150+N172+N190+N202+N206+N210</f>
        <v>199531841.28999999</v>
      </c>
      <c r="O214" s="46">
        <f t="shared" si="37"/>
        <v>195871415.25</v>
      </c>
      <c r="P214" s="46">
        <f t="shared" si="37"/>
        <v>241353721.40000001</v>
      </c>
      <c r="Q214" s="46">
        <f t="shared" si="37"/>
        <v>240596903</v>
      </c>
      <c r="R214" s="46">
        <f t="shared" si="37"/>
        <v>231558798</v>
      </c>
      <c r="S214" s="46">
        <f t="shared" si="37"/>
        <v>190122396</v>
      </c>
    </row>
    <row r="215" spans="1:19" x14ac:dyDescent="0.25">
      <c r="A215" s="85">
        <v>3100</v>
      </c>
      <c r="B215" s="271" t="s">
        <v>536</v>
      </c>
      <c r="C215" s="272"/>
      <c r="D215" s="272"/>
      <c r="E215" s="272"/>
      <c r="F215" s="272"/>
      <c r="G215" s="272"/>
      <c r="H215" s="272"/>
      <c r="I215" s="272"/>
      <c r="J215" s="272"/>
      <c r="K215" s="272"/>
      <c r="L215" s="272"/>
      <c r="M215" s="273"/>
      <c r="N215" s="250">
        <f t="shared" ref="N215:S215" si="38">N33</f>
        <v>46400</v>
      </c>
      <c r="O215" s="250">
        <f t="shared" si="38"/>
        <v>0</v>
      </c>
      <c r="P215" s="250">
        <f t="shared" si="38"/>
        <v>603900</v>
      </c>
      <c r="Q215" s="250">
        <f t="shared" si="38"/>
        <v>516200</v>
      </c>
      <c r="R215" s="250">
        <f t="shared" si="38"/>
        <v>17900</v>
      </c>
      <c r="S215" s="250">
        <f t="shared" si="38"/>
        <v>0</v>
      </c>
    </row>
    <row r="216" spans="1:19" x14ac:dyDescent="0.25">
      <c r="A216" s="16">
        <v>3200</v>
      </c>
      <c r="B216" s="317" t="s">
        <v>415</v>
      </c>
      <c r="C216" s="317"/>
      <c r="D216" s="317"/>
      <c r="E216" s="317"/>
      <c r="F216" s="317"/>
      <c r="G216" s="317"/>
      <c r="H216" s="317"/>
      <c r="I216" s="317"/>
      <c r="J216" s="317"/>
      <c r="K216" s="317"/>
      <c r="L216" s="317"/>
      <c r="M216" s="317"/>
      <c r="N216" s="255">
        <f t="shared" ref="N216:S216" si="39">N37+N59+N155+N101</f>
        <v>121148664.69</v>
      </c>
      <c r="O216" s="255">
        <f t="shared" si="39"/>
        <v>109498250.42</v>
      </c>
      <c r="P216" s="255">
        <f t="shared" si="39"/>
        <v>177495643.25999999</v>
      </c>
      <c r="Q216" s="255">
        <f t="shared" si="39"/>
        <v>225547400</v>
      </c>
      <c r="R216" s="255">
        <f t="shared" si="39"/>
        <v>185611700</v>
      </c>
      <c r="S216" s="255">
        <f t="shared" si="39"/>
        <v>167237600</v>
      </c>
    </row>
    <row r="217" spans="1:19" x14ac:dyDescent="0.25">
      <c r="A217" s="16">
        <v>3400</v>
      </c>
      <c r="B217" s="271" t="s">
        <v>537</v>
      </c>
      <c r="C217" s="274"/>
      <c r="D217" s="274"/>
      <c r="E217" s="274"/>
      <c r="F217" s="274"/>
      <c r="G217" s="274"/>
      <c r="H217" s="274"/>
      <c r="I217" s="274"/>
      <c r="J217" s="274"/>
      <c r="K217" s="274"/>
      <c r="L217" s="274"/>
      <c r="M217" s="275"/>
      <c r="N217" s="255">
        <f t="shared" ref="N217:S217" si="40">N110</f>
        <v>900281405</v>
      </c>
      <c r="O217" s="255">
        <f t="shared" si="40"/>
        <v>900192737.22000003</v>
      </c>
      <c r="P217" s="255">
        <f t="shared" si="40"/>
        <v>922629470</v>
      </c>
      <c r="Q217" s="255">
        <f t="shared" si="40"/>
        <v>917429800</v>
      </c>
      <c r="R217" s="255">
        <f t="shared" si="40"/>
        <v>917429800</v>
      </c>
      <c r="S217" s="255">
        <f t="shared" si="40"/>
        <v>917429800</v>
      </c>
    </row>
    <row r="218" spans="1:19" ht="15.75" thickBot="1" x14ac:dyDescent="0.3">
      <c r="A218" s="253"/>
      <c r="B218" s="310" t="s">
        <v>365</v>
      </c>
      <c r="C218" s="311"/>
      <c r="D218" s="311"/>
      <c r="E218" s="311"/>
      <c r="F218" s="311"/>
      <c r="G218" s="311"/>
      <c r="H218" s="311"/>
      <c r="I218" s="311"/>
      <c r="J218" s="311"/>
      <c r="K218" s="311"/>
      <c r="L218" s="311"/>
      <c r="M218" s="312"/>
      <c r="N218" s="254">
        <f>SUM(N213:N216)+N217</f>
        <v>2445385506.8400002</v>
      </c>
      <c r="O218" s="254">
        <f t="shared" ref="O218:S218" si="41">SUM(O213:O216)+O217</f>
        <v>2404316517.79</v>
      </c>
      <c r="P218" s="254">
        <f t="shared" si="41"/>
        <v>2728038322.6999998</v>
      </c>
      <c r="Q218" s="254">
        <f t="shared" si="41"/>
        <v>2429907715.23</v>
      </c>
      <c r="R218" s="254">
        <f t="shared" si="41"/>
        <v>2337651888.9000001</v>
      </c>
      <c r="S218" s="254">
        <f t="shared" si="41"/>
        <v>2179159314</v>
      </c>
    </row>
    <row r="219" spans="1:19" hidden="1" x14ac:dyDescent="0.25">
      <c r="N219" s="47">
        <f>N209+N205+N193+N177+N159+N119+N116+N81+N73+N62+N46+N9</f>
        <v>2445385506.8400006</v>
      </c>
      <c r="O219" s="47">
        <f>O209+O205+O193+O177+O159+O119+O116+O81+O73+O62+O46+O9</f>
        <v>2404316517.79</v>
      </c>
      <c r="P219" s="47">
        <f>P209+P205+P193+P177+P159+P119+P116+P81+P73+P62+P46+P9</f>
        <v>2728038322.6999998</v>
      </c>
      <c r="Q219" s="47">
        <f>Q209+Q205+Q193+Q177+Q159+Q119+Q116+Q81+Q73+Q62+Q46+Q9</f>
        <v>2429907715.23</v>
      </c>
      <c r="R219" s="47">
        <f>R209+R205+R193+R177+R159+R119+R116+R81+R73+R62+R46+R9</f>
        <v>2337651888.9000001</v>
      </c>
      <c r="S219" s="47">
        <f>S209+S205+S193+S177+S159+S119+S116+S81+S73+S62+S46+S9</f>
        <v>2179159314</v>
      </c>
    </row>
    <row r="220" spans="1:19" hidden="1" x14ac:dyDescent="0.25">
      <c r="N220" s="19">
        <f>N218-N219</f>
        <v>0</v>
      </c>
      <c r="O220" s="19">
        <f>O218-O219</f>
        <v>0</v>
      </c>
      <c r="P220" s="19">
        <f t="shared" ref="P220:S220" si="42">P218-P219</f>
        <v>0</v>
      </c>
      <c r="Q220" s="19">
        <f t="shared" si="42"/>
        <v>0</v>
      </c>
      <c r="R220" s="19">
        <f t="shared" si="42"/>
        <v>0</v>
      </c>
      <c r="S220" s="19">
        <f t="shared" si="42"/>
        <v>0</v>
      </c>
    </row>
    <row r="221" spans="1:19" hidden="1" x14ac:dyDescent="0.25">
      <c r="N221" s="19">
        <v>2445385506.8400002</v>
      </c>
      <c r="O221" s="19">
        <v>2404316517.79</v>
      </c>
      <c r="P221" s="130">
        <v>2728038322.6999998</v>
      </c>
      <c r="Q221" s="130">
        <f>2456707715.23-26800000</f>
        <v>2429907715.23</v>
      </c>
      <c r="R221" s="130">
        <f>2389651888.9-52000000</f>
        <v>2337651888.9000001</v>
      </c>
      <c r="S221" s="130">
        <f>2231159314-52000000</f>
        <v>2179159314</v>
      </c>
    </row>
    <row r="222" spans="1:19" hidden="1" x14ac:dyDescent="0.25">
      <c r="N222" s="130">
        <f>N219-N221</f>
        <v>0</v>
      </c>
      <c r="O222" s="130">
        <f>O219-O221</f>
        <v>0</v>
      </c>
      <c r="P222" s="130">
        <f>P219-P221</f>
        <v>0</v>
      </c>
      <c r="Q222" s="130">
        <f>Q218-Q221</f>
        <v>0</v>
      </c>
      <c r="R222" s="130">
        <f t="shared" ref="R222:S222" si="43">R218-R221</f>
        <v>0</v>
      </c>
      <c r="S222" s="1">
        <f t="shared" si="43"/>
        <v>0</v>
      </c>
    </row>
    <row r="223" spans="1:19" x14ac:dyDescent="0.25">
      <c r="Q223" s="130"/>
      <c r="R223" s="130"/>
    </row>
  </sheetData>
  <mergeCells count="548">
    <mergeCell ref="D145:D146"/>
    <mergeCell ref="B153:B154"/>
    <mergeCell ref="C153:C154"/>
    <mergeCell ref="D153:D154"/>
    <mergeCell ref="N153:N154"/>
    <mergeCell ref="A145:A146"/>
    <mergeCell ref="N145:N146"/>
    <mergeCell ref="A161:A163"/>
    <mergeCell ref="B161:B163"/>
    <mergeCell ref="C161:C163"/>
    <mergeCell ref="H157:H158"/>
    <mergeCell ref="A56:A58"/>
    <mergeCell ref="O19:O21"/>
    <mergeCell ref="P19:P21"/>
    <mergeCell ref="Q19:Q21"/>
    <mergeCell ref="A142:A144"/>
    <mergeCell ref="B142:B144"/>
    <mergeCell ref="C142:C144"/>
    <mergeCell ref="D142:D144"/>
    <mergeCell ref="A134:A136"/>
    <mergeCell ref="A140:A141"/>
    <mergeCell ref="B140:B141"/>
    <mergeCell ref="C134:C136"/>
    <mergeCell ref="C140:C141"/>
    <mergeCell ref="D140:D141"/>
    <mergeCell ref="A137:A139"/>
    <mergeCell ref="B137:B139"/>
    <mergeCell ref="C137:C139"/>
    <mergeCell ref="N69:N70"/>
    <mergeCell ref="N134:N136"/>
    <mergeCell ref="Q130:Q131"/>
    <mergeCell ref="P137:P139"/>
    <mergeCell ref="Q137:Q139"/>
    <mergeCell ref="P140:P141"/>
    <mergeCell ref="Q140:Q141"/>
    <mergeCell ref="R43:R44"/>
    <mergeCell ref="S43:S44"/>
    <mergeCell ref="O41:O42"/>
    <mergeCell ref="R41:R42"/>
    <mergeCell ref="D11:D12"/>
    <mergeCell ref="E11:E12"/>
    <mergeCell ref="O17:O18"/>
    <mergeCell ref="P17:P18"/>
    <mergeCell ref="N26:N27"/>
    <mergeCell ref="Q22:Q24"/>
    <mergeCell ref="R22:R24"/>
    <mergeCell ref="S22:S24"/>
    <mergeCell ref="G28:G29"/>
    <mergeCell ref="N28:N29"/>
    <mergeCell ref="O28:O29"/>
    <mergeCell ref="R28:R29"/>
    <mergeCell ref="S28:S29"/>
    <mergeCell ref="E14:E15"/>
    <mergeCell ref="F14:F15"/>
    <mergeCell ref="G14:G15"/>
    <mergeCell ref="N14:N15"/>
    <mergeCell ref="Q17:Q18"/>
    <mergeCell ref="R17:R18"/>
    <mergeCell ref="J134:J136"/>
    <mergeCell ref="E134:E136"/>
    <mergeCell ref="F134:F136"/>
    <mergeCell ref="G134:G136"/>
    <mergeCell ref="H134:H136"/>
    <mergeCell ref="I134:I136"/>
    <mergeCell ref="B134:B136"/>
    <mergeCell ref="N130:N131"/>
    <mergeCell ref="R19:R21"/>
    <mergeCell ref="O43:O44"/>
    <mergeCell ref="O48:O51"/>
    <mergeCell ref="N30:N31"/>
    <mergeCell ref="O30:O31"/>
    <mergeCell ref="P30:P31"/>
    <mergeCell ref="Q30:Q31"/>
    <mergeCell ref="R30:R31"/>
    <mergeCell ref="O26:O27"/>
    <mergeCell ref="R26:R27"/>
    <mergeCell ref="N43:N44"/>
    <mergeCell ref="O22:O24"/>
    <mergeCell ref="N34:N35"/>
    <mergeCell ref="E28:E29"/>
    <mergeCell ref="C30:C31"/>
    <mergeCell ref="E41:E42"/>
    <mergeCell ref="A130:A131"/>
    <mergeCell ref="B130:B131"/>
    <mergeCell ref="C130:C131"/>
    <mergeCell ref="S140:S141"/>
    <mergeCell ref="S137:S139"/>
    <mergeCell ref="Q71:Q72"/>
    <mergeCell ref="R71:R72"/>
    <mergeCell ref="S71:S72"/>
    <mergeCell ref="N75:N77"/>
    <mergeCell ref="I78:I79"/>
    <mergeCell ref="B75:B77"/>
    <mergeCell ref="B78:B79"/>
    <mergeCell ref="C128:C129"/>
    <mergeCell ref="N98:N99"/>
    <mergeCell ref="C78:C79"/>
    <mergeCell ref="D78:D79"/>
    <mergeCell ref="C121:C123"/>
    <mergeCell ref="N121:N123"/>
    <mergeCell ref="B83:B87"/>
    <mergeCell ref="C83:C87"/>
    <mergeCell ref="D83:D87"/>
    <mergeCell ref="N83:N87"/>
    <mergeCell ref="O83:O87"/>
    <mergeCell ref="H121:H122"/>
    <mergeCell ref="S124:S127"/>
    <mergeCell ref="O130:O131"/>
    <mergeCell ref="R69:R70"/>
    <mergeCell ref="Q134:Q136"/>
    <mergeCell ref="R134:R136"/>
    <mergeCell ref="O69:O70"/>
    <mergeCell ref="P69:P70"/>
    <mergeCell ref="Q69:Q70"/>
    <mergeCell ref="Q98:Q99"/>
    <mergeCell ref="R98:R99"/>
    <mergeCell ref="O134:O136"/>
    <mergeCell ref="R128:R129"/>
    <mergeCell ref="R124:R127"/>
    <mergeCell ref="S75:S77"/>
    <mergeCell ref="P124:P127"/>
    <mergeCell ref="O75:O77"/>
    <mergeCell ref="R75:R77"/>
    <mergeCell ref="R78:R79"/>
    <mergeCell ref="O98:O99"/>
    <mergeCell ref="O95:O96"/>
    <mergeCell ref="S78:S79"/>
    <mergeCell ref="R83:R87"/>
    <mergeCell ref="S83:S87"/>
    <mergeCell ref="S69:S70"/>
    <mergeCell ref="S203:S204"/>
    <mergeCell ref="O211:O212"/>
    <mergeCell ref="R161:R162"/>
    <mergeCell ref="S161:S162"/>
    <mergeCell ref="R168:R171"/>
    <mergeCell ref="S168:S171"/>
    <mergeCell ref="O161:O162"/>
    <mergeCell ref="O173:O174"/>
    <mergeCell ref="R173:R174"/>
    <mergeCell ref="S173:S174"/>
    <mergeCell ref="S211:S212"/>
    <mergeCell ref="R211:R212"/>
    <mergeCell ref="S183:S185"/>
    <mergeCell ref="S186:S188"/>
    <mergeCell ref="R207:R208"/>
    <mergeCell ref="S207:S208"/>
    <mergeCell ref="S198:S199"/>
    <mergeCell ref="S200:S201"/>
    <mergeCell ref="O191:O192"/>
    <mergeCell ref="R191:R192"/>
    <mergeCell ref="S191:S192"/>
    <mergeCell ref="P183:P185"/>
    <mergeCell ref="S175:S176"/>
    <mergeCell ref="S195:S197"/>
    <mergeCell ref="R200:R201"/>
    <mergeCell ref="R183:R185"/>
    <mergeCell ref="O183:O185"/>
    <mergeCell ref="R186:R188"/>
    <mergeCell ref="O179:O182"/>
    <mergeCell ref="P179:P182"/>
    <mergeCell ref="Q179:Q182"/>
    <mergeCell ref="R175:R176"/>
    <mergeCell ref="O186:O188"/>
    <mergeCell ref="Q183:Q185"/>
    <mergeCell ref="P191:P192"/>
    <mergeCell ref="Q191:Q192"/>
    <mergeCell ref="R195:R197"/>
    <mergeCell ref="O175:O176"/>
    <mergeCell ref="N207:N208"/>
    <mergeCell ref="O207:O208"/>
    <mergeCell ref="C207:C208"/>
    <mergeCell ref="D207:D208"/>
    <mergeCell ref="A203:A204"/>
    <mergeCell ref="B203:B204"/>
    <mergeCell ref="C203:C204"/>
    <mergeCell ref="N203:N204"/>
    <mergeCell ref="O203:O204"/>
    <mergeCell ref="A179:A182"/>
    <mergeCell ref="B179:B182"/>
    <mergeCell ref="C179:C182"/>
    <mergeCell ref="D179:D182"/>
    <mergeCell ref="A186:A188"/>
    <mergeCell ref="B186:B188"/>
    <mergeCell ref="C186:C188"/>
    <mergeCell ref="D186:D188"/>
    <mergeCell ref="A207:A208"/>
    <mergeCell ref="B207:B208"/>
    <mergeCell ref="C200:C201"/>
    <mergeCell ref="D200:D201"/>
    <mergeCell ref="H200:H201"/>
    <mergeCell ref="O195:O197"/>
    <mergeCell ref="O200:O201"/>
    <mergeCell ref="N198:N199"/>
    <mergeCell ref="I200:I201"/>
    <mergeCell ref="A195:A197"/>
    <mergeCell ref="B195:B197"/>
    <mergeCell ref="C195:C197"/>
    <mergeCell ref="D195:D197"/>
    <mergeCell ref="O198:O199"/>
    <mergeCell ref="A175:A176"/>
    <mergeCell ref="A211:A212"/>
    <mergeCell ref="B211:B212"/>
    <mergeCell ref="C211:C212"/>
    <mergeCell ref="D211:D212"/>
    <mergeCell ref="N211:N212"/>
    <mergeCell ref="N200:N201"/>
    <mergeCell ref="A198:A199"/>
    <mergeCell ref="A191:A192"/>
    <mergeCell ref="B191:B192"/>
    <mergeCell ref="C191:C192"/>
    <mergeCell ref="D191:D192"/>
    <mergeCell ref="N191:N192"/>
    <mergeCell ref="B198:B199"/>
    <mergeCell ref="C198:C199"/>
    <mergeCell ref="D198:D199"/>
    <mergeCell ref="E198:E199"/>
    <mergeCell ref="F198:F199"/>
    <mergeCell ref="G198:G199"/>
    <mergeCell ref="B175:B176"/>
    <mergeCell ref="C175:C176"/>
    <mergeCell ref="D175:D176"/>
    <mergeCell ref="A200:A201"/>
    <mergeCell ref="B200:B201"/>
    <mergeCell ref="A153:A154"/>
    <mergeCell ref="D157:D158"/>
    <mergeCell ref="E157:E158"/>
    <mergeCell ref="F157:F158"/>
    <mergeCell ref="G157:G158"/>
    <mergeCell ref="A173:A174"/>
    <mergeCell ref="B173:B174"/>
    <mergeCell ref="C173:C174"/>
    <mergeCell ref="D173:D174"/>
    <mergeCell ref="A165:A167"/>
    <mergeCell ref="B165:B167"/>
    <mergeCell ref="C165:C167"/>
    <mergeCell ref="D165:D167"/>
    <mergeCell ref="A5:A7"/>
    <mergeCell ref="B5:B7"/>
    <mergeCell ref="C6:C7"/>
    <mergeCell ref="D6:D7"/>
    <mergeCell ref="A4:B4"/>
    <mergeCell ref="N186:N188"/>
    <mergeCell ref="C145:C146"/>
    <mergeCell ref="A151:A152"/>
    <mergeCell ref="B151:B152"/>
    <mergeCell ref="C151:C152"/>
    <mergeCell ref="D151:D152"/>
    <mergeCell ref="A157:A158"/>
    <mergeCell ref="B157:B158"/>
    <mergeCell ref="N179:N182"/>
    <mergeCell ref="N161:N162"/>
    <mergeCell ref="N183:N185"/>
    <mergeCell ref="A168:A171"/>
    <mergeCell ref="B168:B171"/>
    <mergeCell ref="C168:C171"/>
    <mergeCell ref="D168:D171"/>
    <mergeCell ref="A183:A185"/>
    <mergeCell ref="B183:B185"/>
    <mergeCell ref="C183:C185"/>
    <mergeCell ref="D183:D185"/>
    <mergeCell ref="B17:B18"/>
    <mergeCell ref="C17:C18"/>
    <mergeCell ref="D17:D18"/>
    <mergeCell ref="N17:N18"/>
    <mergeCell ref="C2:P2"/>
    <mergeCell ref="K6:K7"/>
    <mergeCell ref="L6:L7"/>
    <mergeCell ref="M6:M7"/>
    <mergeCell ref="N6:O6"/>
    <mergeCell ref="C5:D5"/>
    <mergeCell ref="C11:C12"/>
    <mergeCell ref="Q6:S6"/>
    <mergeCell ref="N5:S5"/>
    <mergeCell ref="E6:E7"/>
    <mergeCell ref="F6:F7"/>
    <mergeCell ref="G6:G7"/>
    <mergeCell ref="H6:H7"/>
    <mergeCell ref="I6:I7"/>
    <mergeCell ref="J6:J7"/>
    <mergeCell ref="E5:G5"/>
    <mergeCell ref="H5:J5"/>
    <mergeCell ref="K5:M5"/>
    <mergeCell ref="S41:S42"/>
    <mergeCell ref="S11:S13"/>
    <mergeCell ref="S30:S31"/>
    <mergeCell ref="S26:S27"/>
    <mergeCell ref="F41:F42"/>
    <mergeCell ref="F28:F29"/>
    <mergeCell ref="N11:N13"/>
    <mergeCell ref="O11:O13"/>
    <mergeCell ref="P11:P13"/>
    <mergeCell ref="Q11:Q13"/>
    <mergeCell ref="R11:R13"/>
    <mergeCell ref="O34:O35"/>
    <mergeCell ref="R34:R35"/>
    <mergeCell ref="O14:O15"/>
    <mergeCell ref="S19:S21"/>
    <mergeCell ref="N19:N21"/>
    <mergeCell ref="N22:N24"/>
    <mergeCell ref="F22:F24"/>
    <mergeCell ref="G22:G24"/>
    <mergeCell ref="A34:A35"/>
    <mergeCell ref="B34:B35"/>
    <mergeCell ref="C34:C35"/>
    <mergeCell ref="D34:D35"/>
    <mergeCell ref="R14:R15"/>
    <mergeCell ref="S14:S15"/>
    <mergeCell ref="F11:F12"/>
    <mergeCell ref="G11:G12"/>
    <mergeCell ref="S17:S18"/>
    <mergeCell ref="P22:P24"/>
    <mergeCell ref="A22:A24"/>
    <mergeCell ref="B22:B24"/>
    <mergeCell ref="C22:C24"/>
    <mergeCell ref="D22:D24"/>
    <mergeCell ref="A19:A21"/>
    <mergeCell ref="B19:B21"/>
    <mergeCell ref="C19:C21"/>
    <mergeCell ref="D19:D21"/>
    <mergeCell ref="E22:E24"/>
    <mergeCell ref="A14:A16"/>
    <mergeCell ref="B14:B16"/>
    <mergeCell ref="C14:C16"/>
    <mergeCell ref="D14:D16"/>
    <mergeCell ref="A17:A18"/>
    <mergeCell ref="A26:A27"/>
    <mergeCell ref="B26:B27"/>
    <mergeCell ref="C26:C27"/>
    <mergeCell ref="D26:D27"/>
    <mergeCell ref="B28:B29"/>
    <mergeCell ref="C28:C29"/>
    <mergeCell ref="A28:A29"/>
    <mergeCell ref="D30:D31"/>
    <mergeCell ref="D28:D29"/>
    <mergeCell ref="A30:A31"/>
    <mergeCell ref="B30:B31"/>
    <mergeCell ref="A43:A44"/>
    <mergeCell ref="B43:B44"/>
    <mergeCell ref="C43:C44"/>
    <mergeCell ref="D43:D44"/>
    <mergeCell ref="G41:G42"/>
    <mergeCell ref="D48:D51"/>
    <mergeCell ref="A53:A54"/>
    <mergeCell ref="N41:N42"/>
    <mergeCell ref="N48:N51"/>
    <mergeCell ref="A48:A51"/>
    <mergeCell ref="B48:B51"/>
    <mergeCell ref="C48:C51"/>
    <mergeCell ref="B53:B54"/>
    <mergeCell ref="C53:C54"/>
    <mergeCell ref="D53:D54"/>
    <mergeCell ref="B41:B42"/>
    <mergeCell ref="C41:C42"/>
    <mergeCell ref="D41:D42"/>
    <mergeCell ref="B56:B58"/>
    <mergeCell ref="C56:C58"/>
    <mergeCell ref="D60:D61"/>
    <mergeCell ref="D56:D58"/>
    <mergeCell ref="F66:F67"/>
    <mergeCell ref="G66:G67"/>
    <mergeCell ref="F60:F61"/>
    <mergeCell ref="G60:G61"/>
    <mergeCell ref="F56:F57"/>
    <mergeCell ref="G56:G57"/>
    <mergeCell ref="B218:M218"/>
    <mergeCell ref="B213:M213"/>
    <mergeCell ref="D128:D129"/>
    <mergeCell ref="D124:D127"/>
    <mergeCell ref="B121:B123"/>
    <mergeCell ref="C124:C127"/>
    <mergeCell ref="H137:H139"/>
    <mergeCell ref="D121:D123"/>
    <mergeCell ref="D130:D131"/>
    <mergeCell ref="D134:D136"/>
    <mergeCell ref="D137:D139"/>
    <mergeCell ref="E137:E139"/>
    <mergeCell ref="F137:F139"/>
    <mergeCell ref="G137:G139"/>
    <mergeCell ref="I137:I139"/>
    <mergeCell ref="J137:J139"/>
    <mergeCell ref="B145:B146"/>
    <mergeCell ref="I157:I158"/>
    <mergeCell ref="B216:M216"/>
    <mergeCell ref="J157:J158"/>
    <mergeCell ref="B214:M214"/>
    <mergeCell ref="C157:C158"/>
    <mergeCell ref="B124:B127"/>
    <mergeCell ref="B128:B129"/>
    <mergeCell ref="J200:J201"/>
    <mergeCell ref="E168:E171"/>
    <mergeCell ref="F168:F171"/>
    <mergeCell ref="G168:G171"/>
    <mergeCell ref="D161:D163"/>
    <mergeCell ref="E175:E176"/>
    <mergeCell ref="F175:F176"/>
    <mergeCell ref="G175:G176"/>
    <mergeCell ref="H175:H176"/>
    <mergeCell ref="I175:I176"/>
    <mergeCell ref="J175:J176"/>
    <mergeCell ref="N195:N197"/>
    <mergeCell ref="R198:R199"/>
    <mergeCell ref="O128:O129"/>
    <mergeCell ref="Q124:Q127"/>
    <mergeCell ref="P128:P129"/>
    <mergeCell ref="P130:P131"/>
    <mergeCell ref="O124:O127"/>
    <mergeCell ref="N124:N127"/>
    <mergeCell ref="R130:R131"/>
    <mergeCell ref="R140:R141"/>
    <mergeCell ref="O168:O171"/>
    <mergeCell ref="N168:N171"/>
    <mergeCell ref="P195:P197"/>
    <mergeCell ref="Q195:Q197"/>
    <mergeCell ref="P134:P136"/>
    <mergeCell ref="O157:O158"/>
    <mergeCell ref="N175:N176"/>
    <mergeCell ref="N173:N174"/>
    <mergeCell ref="N157:N158"/>
    <mergeCell ref="J56:J57"/>
    <mergeCell ref="I69:I70"/>
    <mergeCell ref="J69:J70"/>
    <mergeCell ref="H78:H79"/>
    <mergeCell ref="J78:J79"/>
    <mergeCell ref="R48:R51"/>
    <mergeCell ref="P53:P54"/>
    <mergeCell ref="Q53:Q54"/>
    <mergeCell ref="R53:R54"/>
    <mergeCell ref="N78:N79"/>
    <mergeCell ref="O78:O79"/>
    <mergeCell ref="O60:O61"/>
    <mergeCell ref="N56:N58"/>
    <mergeCell ref="O56:O58"/>
    <mergeCell ref="N66:N68"/>
    <mergeCell ref="O66:O68"/>
    <mergeCell ref="R56:R58"/>
    <mergeCell ref="H66:H67"/>
    <mergeCell ref="I66:I67"/>
    <mergeCell ref="J66:J67"/>
    <mergeCell ref="H56:H57"/>
    <mergeCell ref="I56:I57"/>
    <mergeCell ref="P71:P72"/>
    <mergeCell ref="O71:O72"/>
    <mergeCell ref="F69:F70"/>
    <mergeCell ref="G69:G70"/>
    <mergeCell ref="H69:H70"/>
    <mergeCell ref="Q157:Q158"/>
    <mergeCell ref="O145:O146"/>
    <mergeCell ref="A128:A129"/>
    <mergeCell ref="A121:A123"/>
    <mergeCell ref="A3:B3"/>
    <mergeCell ref="A60:A61"/>
    <mergeCell ref="B60:B61"/>
    <mergeCell ref="C60:C61"/>
    <mergeCell ref="C69:C70"/>
    <mergeCell ref="D69:D70"/>
    <mergeCell ref="E69:E70"/>
    <mergeCell ref="A11:A13"/>
    <mergeCell ref="B11:B13"/>
    <mergeCell ref="A124:A127"/>
    <mergeCell ref="A66:A68"/>
    <mergeCell ref="B66:B68"/>
    <mergeCell ref="C66:C68"/>
    <mergeCell ref="D66:D68"/>
    <mergeCell ref="E66:E67"/>
    <mergeCell ref="E60:E61"/>
    <mergeCell ref="E56:E57"/>
    <mergeCell ref="S48:S51"/>
    <mergeCell ref="S53:S54"/>
    <mergeCell ref="O53:O54"/>
    <mergeCell ref="N53:N54"/>
    <mergeCell ref="R66:R68"/>
    <mergeCell ref="S66:S68"/>
    <mergeCell ref="R60:R61"/>
    <mergeCell ref="S60:S61"/>
    <mergeCell ref="N60:N61"/>
    <mergeCell ref="S56:S58"/>
    <mergeCell ref="N71:N72"/>
    <mergeCell ref="N95:N96"/>
    <mergeCell ref="N137:N139"/>
    <mergeCell ref="S157:S158"/>
    <mergeCell ref="O142:O144"/>
    <mergeCell ref="R142:R144"/>
    <mergeCell ref="R153:R154"/>
    <mergeCell ref="S153:S154"/>
    <mergeCell ref="R157:R158"/>
    <mergeCell ref="N142:N144"/>
    <mergeCell ref="N140:N141"/>
    <mergeCell ref="O140:O141"/>
    <mergeCell ref="R151:R152"/>
    <mergeCell ref="R137:R139"/>
    <mergeCell ref="R145:R146"/>
    <mergeCell ref="S145:S146"/>
    <mergeCell ref="S142:S144"/>
    <mergeCell ref="O153:O154"/>
    <mergeCell ref="O151:O152"/>
    <mergeCell ref="P157:P158"/>
    <mergeCell ref="P95:P96"/>
    <mergeCell ref="S95:S96"/>
    <mergeCell ref="S151:S152"/>
    <mergeCell ref="S130:S131"/>
    <mergeCell ref="S134:S136"/>
    <mergeCell ref="S34:S35"/>
    <mergeCell ref="A111:A112"/>
    <mergeCell ref="B111:B112"/>
    <mergeCell ref="C111:C112"/>
    <mergeCell ref="D111:D112"/>
    <mergeCell ref="H111:H112"/>
    <mergeCell ref="I111:I112"/>
    <mergeCell ref="J111:J112"/>
    <mergeCell ref="N111:N112"/>
    <mergeCell ref="O111:O112"/>
    <mergeCell ref="R111:R112"/>
    <mergeCell ref="S111:S112"/>
    <mergeCell ref="P66:P68"/>
    <mergeCell ref="Q66:Q68"/>
    <mergeCell ref="P98:P99"/>
    <mergeCell ref="S98:S99"/>
    <mergeCell ref="A83:A87"/>
    <mergeCell ref="Q95:Q96"/>
    <mergeCell ref="R95:R96"/>
    <mergeCell ref="A75:A77"/>
    <mergeCell ref="C75:C77"/>
    <mergeCell ref="D75:D77"/>
    <mergeCell ref="A78:A79"/>
    <mergeCell ref="B95:B96"/>
    <mergeCell ref="B215:M215"/>
    <mergeCell ref="B217:M217"/>
    <mergeCell ref="R113:R114"/>
    <mergeCell ref="S113:S114"/>
    <mergeCell ref="A113:A114"/>
    <mergeCell ref="B113:B114"/>
    <mergeCell ref="C113:C114"/>
    <mergeCell ref="D113:D114"/>
    <mergeCell ref="H113:H114"/>
    <mergeCell ref="I113:I114"/>
    <mergeCell ref="J113:J114"/>
    <mergeCell ref="N113:N114"/>
    <mergeCell ref="O113:O114"/>
    <mergeCell ref="R179:R182"/>
    <mergeCell ref="S179:S182"/>
    <mergeCell ref="S121:S123"/>
    <mergeCell ref="S128:S129"/>
    <mergeCell ref="O121:O123"/>
    <mergeCell ref="R121:R123"/>
    <mergeCell ref="N128:N129"/>
    <mergeCell ref="N151:N152"/>
    <mergeCell ref="O137:O139"/>
    <mergeCell ref="R203:R204"/>
  </mergeCells>
  <hyperlinks>
    <hyperlink ref="K153" r:id="rId1" tooltip="Ссылка на КонсультантПлюс" display="consultantplus://offline/ref=3D0D1FA37BFC4FD4827B32A30E9945BF67DC73B15484D8628C3ABC299E17C3F496000D574D34C6CC6399B441G5dBH"/>
  </hyperlinks>
  <pageMargins left="0.7" right="0.7" top="0.75" bottom="0.75" header="0.3" footer="0.3"/>
  <pageSetup paperSize="9" scale="40" fitToHeight="0" orientation="landscape"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opLeftCell="A45" workbookViewId="0">
      <selection activeCell="D21" sqref="D21:H21"/>
    </sheetView>
  </sheetViews>
  <sheetFormatPr defaultRowHeight="15" x14ac:dyDescent="0.25"/>
  <cols>
    <col min="1" max="1" width="14.7109375" style="63" customWidth="1"/>
    <col min="2" max="2" width="87.85546875" style="1" customWidth="1"/>
    <col min="3" max="3" width="16.85546875" customWidth="1"/>
    <col min="4" max="4" width="15.42578125" customWidth="1"/>
    <col min="5" max="5" width="17" customWidth="1"/>
    <col min="6" max="6" width="16.7109375" customWidth="1"/>
    <col min="7" max="7" width="15.7109375" customWidth="1"/>
    <col min="8" max="8" width="16.85546875" customWidth="1"/>
  </cols>
  <sheetData>
    <row r="1" spans="1:8" x14ac:dyDescent="0.25">
      <c r="A1" s="62" t="s">
        <v>379</v>
      </c>
    </row>
    <row r="3" spans="1:8" x14ac:dyDescent="0.25">
      <c r="A3" s="63" t="s">
        <v>376</v>
      </c>
    </row>
    <row r="5" spans="1:8" ht="45" x14ac:dyDescent="0.25">
      <c r="A5" s="278" t="s">
        <v>0</v>
      </c>
      <c r="B5" s="321" t="s">
        <v>1</v>
      </c>
      <c r="C5" s="321" t="s">
        <v>13</v>
      </c>
      <c r="D5" s="321"/>
      <c r="E5" s="58" t="s">
        <v>14</v>
      </c>
      <c r="F5" s="321" t="s">
        <v>15</v>
      </c>
      <c r="G5" s="322"/>
      <c r="H5" s="322"/>
    </row>
    <row r="6" spans="1:8" x14ac:dyDescent="0.25">
      <c r="A6" s="289"/>
      <c r="B6" s="321"/>
      <c r="C6" s="60" t="s">
        <v>11</v>
      </c>
      <c r="D6" s="60" t="s">
        <v>12</v>
      </c>
      <c r="E6" s="60" t="s">
        <v>11</v>
      </c>
      <c r="F6" s="60" t="s">
        <v>11</v>
      </c>
      <c r="G6" s="60" t="s">
        <v>11</v>
      </c>
      <c r="H6" s="60" t="s">
        <v>11</v>
      </c>
    </row>
    <row r="7" spans="1:8" x14ac:dyDescent="0.25">
      <c r="A7" s="61">
        <v>1</v>
      </c>
      <c r="B7" s="59">
        <v>2</v>
      </c>
      <c r="C7" s="59">
        <v>3</v>
      </c>
      <c r="D7" s="59">
        <v>4</v>
      </c>
      <c r="E7" s="59">
        <v>5</v>
      </c>
      <c r="F7" s="59">
        <v>6</v>
      </c>
      <c r="G7" s="59">
        <v>7</v>
      </c>
      <c r="H7" s="59">
        <v>8</v>
      </c>
    </row>
    <row r="8" spans="1:8" ht="42.75" x14ac:dyDescent="0.25">
      <c r="A8" s="22" t="s">
        <v>61</v>
      </c>
      <c r="B8" s="17" t="s">
        <v>60</v>
      </c>
      <c r="C8" s="66" t="e">
        <f>SUM(C9:C36)</f>
        <v>#REF!</v>
      </c>
      <c r="D8" s="66" t="e">
        <f t="shared" ref="D8:H8" si="0">SUM(D9:D36)</f>
        <v>#REF!</v>
      </c>
      <c r="E8" s="66" t="e">
        <f t="shared" si="0"/>
        <v>#REF!</v>
      </c>
      <c r="F8" s="66" t="e">
        <f t="shared" si="0"/>
        <v>#REF!</v>
      </c>
      <c r="G8" s="66" t="e">
        <f t="shared" si="0"/>
        <v>#REF!</v>
      </c>
      <c r="H8" s="66" t="e">
        <f t="shared" si="0"/>
        <v>#REF!</v>
      </c>
    </row>
    <row r="9" spans="1:8" ht="45" x14ac:dyDescent="0.25">
      <c r="A9" s="64">
        <v>2102</v>
      </c>
      <c r="B9" s="56" t="s">
        <v>139</v>
      </c>
      <c r="C9" s="65" t="e">
        <f>Лист1!#REF!+Лист1!#REF!+Лист1!N211</f>
        <v>#REF!</v>
      </c>
      <c r="D9" s="65" t="e">
        <f>Лист1!#REF!+Лист1!#REF!+Лист1!O211</f>
        <v>#REF!</v>
      </c>
      <c r="E9" s="65" t="e">
        <f>Лист1!#REF!+Лист1!#REF!+Лист1!P211</f>
        <v>#REF!</v>
      </c>
      <c r="F9" s="65" t="e">
        <f>Лист1!#REF!+Лист1!#REF!+Лист1!Q211</f>
        <v>#REF!</v>
      </c>
      <c r="G9" s="65" t="e">
        <f>Лист1!#REF!+Лист1!#REF!+Лист1!R211</f>
        <v>#REF!</v>
      </c>
      <c r="H9" s="65" t="e">
        <f>Лист1!#REF!+Лист1!#REF!+Лист1!S211</f>
        <v>#REF!</v>
      </c>
    </row>
    <row r="10" spans="1:8" ht="30" x14ac:dyDescent="0.25">
      <c r="A10" s="56">
        <v>2104</v>
      </c>
      <c r="B10" s="56" t="s">
        <v>391</v>
      </c>
      <c r="C10" s="65">
        <f>Лист1!N48</f>
        <v>1810695.69</v>
      </c>
      <c r="D10" s="65">
        <f>Лист1!O48</f>
        <v>1810695.69</v>
      </c>
      <c r="E10" s="65">
        <f>Лист1!P48</f>
        <v>1007000</v>
      </c>
      <c r="F10" s="65">
        <f>Лист1!Q48</f>
        <v>455000</v>
      </c>
      <c r="G10" s="65">
        <f>Лист1!R48</f>
        <v>455000</v>
      </c>
      <c r="H10" s="65">
        <f>Лист1!S48</f>
        <v>455000</v>
      </c>
    </row>
    <row r="11" spans="1:8" ht="45" x14ac:dyDescent="0.25">
      <c r="A11" s="56">
        <v>2105</v>
      </c>
      <c r="B11" s="56" t="s">
        <v>218</v>
      </c>
      <c r="C11" s="65">
        <f>Лист1!N121</f>
        <v>15084381</v>
      </c>
      <c r="D11" s="65">
        <f>Лист1!O121</f>
        <v>15021476.140000001</v>
      </c>
      <c r="E11" s="65">
        <f>Лист1!P121</f>
        <v>3548124</v>
      </c>
      <c r="F11" s="65">
        <f>Лист1!Q121</f>
        <v>0</v>
      </c>
      <c r="G11" s="65">
        <f>Лист1!R121</f>
        <v>0</v>
      </c>
      <c r="H11" s="65">
        <f>Лист1!S121</f>
        <v>0</v>
      </c>
    </row>
    <row r="12" spans="1:8" ht="105" x14ac:dyDescent="0.25">
      <c r="A12" s="10">
        <v>2106</v>
      </c>
      <c r="B12" s="10" t="s">
        <v>227</v>
      </c>
      <c r="C12" s="65">
        <f>Лист1!N124</f>
        <v>149331980</v>
      </c>
      <c r="D12" s="65">
        <f>Лист1!O124</f>
        <v>148760035.41999999</v>
      </c>
      <c r="E12" s="65">
        <f>Лист1!P124</f>
        <v>106855593.31</v>
      </c>
      <c r="F12" s="65">
        <f>Лист1!Q124</f>
        <v>104275133</v>
      </c>
      <c r="G12" s="65">
        <f>Лист1!R124</f>
        <v>105861508</v>
      </c>
      <c r="H12" s="65">
        <f>Лист1!S124</f>
        <v>105861508</v>
      </c>
    </row>
    <row r="13" spans="1:8" ht="75" x14ac:dyDescent="0.25">
      <c r="A13" s="56">
        <v>2107</v>
      </c>
      <c r="B13" s="56" t="s">
        <v>45</v>
      </c>
      <c r="C13" s="65">
        <f>Лист1!N128+Лист1!N64+Лист1!N52+Лист1!N11</f>
        <v>96393261.099999994</v>
      </c>
      <c r="D13" s="65">
        <f>Лист1!O128+Лист1!O64+Лист1!O52+Лист1!O11</f>
        <v>81382933.019999996</v>
      </c>
      <c r="E13" s="65">
        <f>Лист1!P128+Лист1!P64+Лист1!P52+Лист1!P11</f>
        <v>190701258.15000001</v>
      </c>
      <c r="F13" s="65">
        <f>Лист1!Q128+Лист1!Q64+Лист1!Q52+Лист1!Q11</f>
        <v>8915290.370000001</v>
      </c>
      <c r="G13" s="65">
        <f>Лист1!R128+Лист1!R64+Лист1!R52+Лист1!R11</f>
        <v>8097576.21</v>
      </c>
      <c r="H13" s="65">
        <f>Лист1!S128+Лист1!S64+Лист1!S52+Лист1!S11</f>
        <v>6336869</v>
      </c>
    </row>
    <row r="14" spans="1:8" ht="30" x14ac:dyDescent="0.25">
      <c r="A14" s="56">
        <v>2108</v>
      </c>
      <c r="B14" s="56" t="s">
        <v>240</v>
      </c>
      <c r="C14" s="65">
        <f>Лист1!N130</f>
        <v>62279081.939999998</v>
      </c>
      <c r="D14" s="65">
        <f>Лист1!O130</f>
        <v>56853672.140000001</v>
      </c>
      <c r="E14" s="65">
        <f>Лист1!P130</f>
        <v>58314005</v>
      </c>
      <c r="F14" s="65">
        <f>Лист1!Q130</f>
        <v>55962969</v>
      </c>
      <c r="G14" s="65">
        <f>Лист1!R130</f>
        <v>43067175</v>
      </c>
      <c r="H14" s="65">
        <f>Лист1!S130</f>
        <v>43067175</v>
      </c>
    </row>
    <row r="15" spans="1:8" ht="30" x14ac:dyDescent="0.25">
      <c r="A15" s="56">
        <v>2111</v>
      </c>
      <c r="B15" s="56" t="s">
        <v>148</v>
      </c>
      <c r="C15" s="65">
        <f>Лист1!N75</f>
        <v>33198753.93</v>
      </c>
      <c r="D15" s="65">
        <f>Лист1!O75</f>
        <v>33035747.510000002</v>
      </c>
      <c r="E15" s="65">
        <f>Лист1!P75</f>
        <v>33632618</v>
      </c>
      <c r="F15" s="65">
        <f>Лист1!Q75</f>
        <v>33200318</v>
      </c>
      <c r="G15" s="65">
        <f>Лист1!R75</f>
        <v>32769360</v>
      </c>
      <c r="H15" s="65">
        <f>Лист1!S75</f>
        <v>32769360</v>
      </c>
    </row>
    <row r="16" spans="1:8" x14ac:dyDescent="0.25">
      <c r="A16" s="56">
        <v>2115</v>
      </c>
      <c r="B16" s="56" t="s">
        <v>162</v>
      </c>
      <c r="C16" s="65">
        <f>Лист1!N78</f>
        <v>349301.2</v>
      </c>
      <c r="D16" s="65">
        <f>Лист1!O78</f>
        <v>349301.2</v>
      </c>
      <c r="E16" s="65">
        <f>Лист1!P78</f>
        <v>405000</v>
      </c>
      <c r="F16" s="65">
        <f>Лист1!Q78</f>
        <v>405000</v>
      </c>
      <c r="G16" s="65">
        <f>Лист1!R78</f>
        <v>235958</v>
      </c>
      <c r="H16" s="65">
        <f>Лист1!S78</f>
        <v>235958</v>
      </c>
    </row>
    <row r="17" spans="1:8" ht="165" x14ac:dyDescent="0.25">
      <c r="A17" s="56">
        <v>2117</v>
      </c>
      <c r="B17" s="56" t="s">
        <v>169</v>
      </c>
      <c r="C17" s="65">
        <f>Лист1!N83+Лист1!N179</f>
        <v>498353768.44</v>
      </c>
      <c r="D17" s="65">
        <f>Лист1!O83+Лист1!O179</f>
        <v>496627820.44999999</v>
      </c>
      <c r="E17" s="65">
        <f>Лист1!P83+Лист1!P179</f>
        <v>540119905.60000002</v>
      </c>
      <c r="F17" s="65">
        <f>Лист1!Q83+Лист1!Q179</f>
        <v>520486533.86000001</v>
      </c>
      <c r="G17" s="65">
        <f>Лист1!R83+Лист1!R179</f>
        <v>506373778.69</v>
      </c>
      <c r="H17" s="65">
        <f>Лист1!S83+Лист1!S179</f>
        <v>446930313</v>
      </c>
    </row>
    <row r="18" spans="1:8" ht="30" x14ac:dyDescent="0.25">
      <c r="A18" s="56">
        <v>2119</v>
      </c>
      <c r="B18" s="56" t="s">
        <v>250</v>
      </c>
      <c r="C18" s="65">
        <f>Лист1!N134</f>
        <v>7699000</v>
      </c>
      <c r="D18" s="65">
        <f>Лист1!O134</f>
        <v>7299537.5500000007</v>
      </c>
      <c r="E18" s="65">
        <f>Лист1!P134</f>
        <v>8237000</v>
      </c>
      <c r="F18" s="65">
        <f>Лист1!Q134</f>
        <v>7594300</v>
      </c>
      <c r="G18" s="65">
        <f>Лист1!R134</f>
        <v>7594300</v>
      </c>
      <c r="H18" s="65">
        <f>Лист1!S134</f>
        <v>7594300</v>
      </c>
    </row>
    <row r="19" spans="1:8" ht="30" x14ac:dyDescent="0.25">
      <c r="A19" s="56">
        <v>2120</v>
      </c>
      <c r="B19" s="56" t="s">
        <v>317</v>
      </c>
      <c r="C19" s="65">
        <f>Лист1!N183</f>
        <v>37759516</v>
      </c>
      <c r="D19" s="65">
        <f>Лист1!O183</f>
        <v>37759515.869999997</v>
      </c>
      <c r="E19" s="65">
        <f>Лист1!P183</f>
        <v>37881074</v>
      </c>
      <c r="F19" s="65">
        <f>Лист1!Q183</f>
        <v>37060446</v>
      </c>
      <c r="G19" s="65">
        <f>Лист1!R183</f>
        <v>36161741</v>
      </c>
      <c r="H19" s="65">
        <f>Лист1!S183</f>
        <v>36161741</v>
      </c>
    </row>
    <row r="20" spans="1:8" ht="30" x14ac:dyDescent="0.25">
      <c r="A20" s="56">
        <v>2121</v>
      </c>
      <c r="B20" s="56" t="s">
        <v>392</v>
      </c>
      <c r="C20" s="65">
        <f>Лист1!N186</f>
        <v>42121129.560000002</v>
      </c>
      <c r="D20" s="65">
        <f>Лист1!O186</f>
        <v>42115628.770000003</v>
      </c>
      <c r="E20" s="65">
        <f>Лист1!P186</f>
        <v>44874010</v>
      </c>
      <c r="F20" s="65">
        <f>Лист1!Q186</f>
        <v>43714038</v>
      </c>
      <c r="G20" s="65">
        <f>Лист1!R186</f>
        <v>39069507</v>
      </c>
      <c r="H20" s="65">
        <f>Лист1!S186</f>
        <v>39559407</v>
      </c>
    </row>
    <row r="21" spans="1:8" ht="45" x14ac:dyDescent="0.25">
      <c r="A21" s="56">
        <v>2124</v>
      </c>
      <c r="B21" s="56" t="s">
        <v>308</v>
      </c>
      <c r="C21" s="65" t="e">
        <f>Лист1!N161+Лист1!#REF!</f>
        <v>#REF!</v>
      </c>
      <c r="D21" s="65" t="e">
        <f>Лист1!O161+Лист1!#REF!</f>
        <v>#REF!</v>
      </c>
      <c r="E21" s="65" t="e">
        <f>Лист1!P161+Лист1!#REF!</f>
        <v>#REF!</v>
      </c>
      <c r="F21" s="65" t="e">
        <f>Лист1!Q161+Лист1!#REF!</f>
        <v>#REF!</v>
      </c>
      <c r="G21" s="65" t="e">
        <f>Лист1!R161+Лист1!#REF!</f>
        <v>#REF!</v>
      </c>
      <c r="H21" s="65" t="e">
        <f>Лист1!S161+Лист1!#REF!</f>
        <v>#REF!</v>
      </c>
    </row>
    <row r="22" spans="1:8" ht="30" x14ac:dyDescent="0.25">
      <c r="A22" s="56">
        <v>2125</v>
      </c>
      <c r="B22" s="56" t="s">
        <v>253</v>
      </c>
      <c r="C22" s="65">
        <f>Лист1!N137</f>
        <v>73837.16</v>
      </c>
      <c r="D22" s="65">
        <f>Лист1!O137</f>
        <v>73837.16</v>
      </c>
      <c r="E22" s="65">
        <f>Лист1!P137</f>
        <v>73900</v>
      </c>
      <c r="F22" s="65">
        <f>Лист1!Q137</f>
        <v>37900</v>
      </c>
      <c r="G22" s="65">
        <f>Лист1!R137</f>
        <v>37900</v>
      </c>
      <c r="H22" s="65">
        <f>Лист1!S137</f>
        <v>37900</v>
      </c>
    </row>
    <row r="23" spans="1:8" x14ac:dyDescent="0.25">
      <c r="A23" s="56">
        <v>2126</v>
      </c>
      <c r="B23" s="56" t="s">
        <v>48</v>
      </c>
      <c r="C23" s="65">
        <f>Лист1!N14</f>
        <v>10421854</v>
      </c>
      <c r="D23" s="65">
        <f>Лист1!O14</f>
        <v>9608962.1699999999</v>
      </c>
      <c r="E23" s="65">
        <f>Лист1!P14</f>
        <v>3755247</v>
      </c>
      <c r="F23" s="65">
        <f>Лист1!Q14</f>
        <v>3723747</v>
      </c>
      <c r="G23" s="65">
        <f>Лист1!R14</f>
        <v>3723747</v>
      </c>
      <c r="H23" s="65">
        <f>Лист1!S14</f>
        <v>3723747</v>
      </c>
    </row>
    <row r="24" spans="1:8" x14ac:dyDescent="0.25">
      <c r="A24" s="56">
        <v>2127</v>
      </c>
      <c r="B24" s="56" t="s">
        <v>393</v>
      </c>
      <c r="C24" s="65">
        <f>Лист1!N140</f>
        <v>867129.32</v>
      </c>
      <c r="D24" s="65">
        <f>Лист1!O140</f>
        <v>867129.32</v>
      </c>
      <c r="E24" s="65">
        <f>Лист1!P140</f>
        <v>950250</v>
      </c>
      <c r="F24" s="65">
        <f>Лист1!Q140</f>
        <v>1450000</v>
      </c>
      <c r="G24" s="65">
        <f>Лист1!R140</f>
        <v>1450000</v>
      </c>
      <c r="H24" s="65">
        <f>Лист1!S140</f>
        <v>700000</v>
      </c>
    </row>
    <row r="25" spans="1:8" x14ac:dyDescent="0.25">
      <c r="A25" s="56">
        <v>2128</v>
      </c>
      <c r="B25" s="56" t="s">
        <v>394</v>
      </c>
      <c r="C25" s="65">
        <f>Лист1!N142</f>
        <v>0</v>
      </c>
      <c r="D25" s="65">
        <f>Лист1!O142</f>
        <v>0</v>
      </c>
      <c r="E25" s="65">
        <f>Лист1!P142</f>
        <v>0</v>
      </c>
      <c r="F25" s="65">
        <f>Лист1!Q142</f>
        <v>0</v>
      </c>
      <c r="G25" s="65">
        <f>Лист1!R142</f>
        <v>0</v>
      </c>
      <c r="H25" s="65">
        <f>Лист1!S142</f>
        <v>0</v>
      </c>
    </row>
    <row r="26" spans="1:8" ht="165" x14ac:dyDescent="0.25">
      <c r="A26" s="56">
        <v>2129</v>
      </c>
      <c r="B26" s="56" t="s">
        <v>285</v>
      </c>
      <c r="C26" s="65">
        <f>Лист1!N145</f>
        <v>91177216.110000014</v>
      </c>
      <c r="D26" s="65">
        <f>Лист1!O145</f>
        <v>91175952.520000011</v>
      </c>
      <c r="E26" s="65">
        <f>Лист1!P145</f>
        <v>188329312.91</v>
      </c>
      <c r="F26" s="65">
        <f>Лист1!Q145</f>
        <v>79749443</v>
      </c>
      <c r="G26" s="65">
        <f>Лист1!R145</f>
        <v>74749443</v>
      </c>
      <c r="H26" s="65">
        <f>Лист1!S145</f>
        <v>41192043</v>
      </c>
    </row>
    <row r="27" spans="1:8" ht="180" x14ac:dyDescent="0.25">
      <c r="A27" s="56">
        <v>2130</v>
      </c>
      <c r="B27" s="56" t="s">
        <v>123</v>
      </c>
      <c r="C27" s="65">
        <f>Лист1!N53+Лист1!N198</f>
        <v>1555600</v>
      </c>
      <c r="D27" s="65">
        <f>Лист1!O53+Лист1!O198</f>
        <v>1555600</v>
      </c>
      <c r="E27" s="65">
        <f>Лист1!P53+Лист1!P198</f>
        <v>5276120</v>
      </c>
      <c r="F27" s="65">
        <f>Лист1!Q53+Лист1!Q198</f>
        <v>838600</v>
      </c>
      <c r="G27" s="65">
        <f>Лист1!R53+Лист1!R198</f>
        <v>539600</v>
      </c>
      <c r="H27" s="65">
        <f>Лист1!S53+Лист1!S198</f>
        <v>539600</v>
      </c>
    </row>
    <row r="28" spans="1:8" ht="30" x14ac:dyDescent="0.25">
      <c r="A28" s="56">
        <v>2131</v>
      </c>
      <c r="B28" s="56" t="s">
        <v>395</v>
      </c>
      <c r="C28" s="65">
        <f>Лист1!N200</f>
        <v>406995</v>
      </c>
      <c r="D28" s="65">
        <f>Лист1!O200</f>
        <v>325750</v>
      </c>
      <c r="E28" s="65">
        <f>Лист1!P200</f>
        <v>290000</v>
      </c>
      <c r="F28" s="65">
        <f>Лист1!Q200</f>
        <v>100000</v>
      </c>
      <c r="G28" s="65">
        <f>Лист1!R200</f>
        <v>0</v>
      </c>
      <c r="H28" s="65">
        <f>Лист1!S200</f>
        <v>0</v>
      </c>
    </row>
    <row r="29" spans="1:8" ht="61.5" customHeight="1" x14ac:dyDescent="0.25">
      <c r="A29" s="56">
        <v>2138</v>
      </c>
      <c r="B29" s="56" t="s">
        <v>396</v>
      </c>
      <c r="C29" s="65" t="e">
        <f>Лист1!#REF!+Лист1!N17</f>
        <v>#REF!</v>
      </c>
      <c r="D29" s="65" t="e">
        <f>Лист1!#REF!+Лист1!O17</f>
        <v>#REF!</v>
      </c>
      <c r="E29" s="65" t="e">
        <f>Лист1!#REF!+Лист1!P17</f>
        <v>#REF!</v>
      </c>
      <c r="F29" s="65" t="e">
        <f>Лист1!#REF!+Лист1!Q17</f>
        <v>#REF!</v>
      </c>
      <c r="G29" s="65" t="e">
        <f>Лист1!#REF!+Лист1!R17</f>
        <v>#REF!</v>
      </c>
      <c r="H29" s="65" t="e">
        <f>Лист1!#REF!+Лист1!S17</f>
        <v>#REF!</v>
      </c>
    </row>
    <row r="30" spans="1:8" ht="30" x14ac:dyDescent="0.25">
      <c r="A30" s="56">
        <v>2139</v>
      </c>
      <c r="B30" s="56" t="s">
        <v>300</v>
      </c>
      <c r="C30" s="65">
        <f>Лист1!N168</f>
        <v>36387234.479999997</v>
      </c>
      <c r="D30" s="65">
        <f>Лист1!O168</f>
        <v>35689645.409999996</v>
      </c>
      <c r="E30" s="65">
        <f>Лист1!P168</f>
        <v>22859887.75</v>
      </c>
      <c r="F30" s="65">
        <f>Лист1!Q168</f>
        <v>19463234</v>
      </c>
      <c r="G30" s="65">
        <f>Лист1!R168</f>
        <v>19362374</v>
      </c>
      <c r="H30" s="65">
        <f>Лист1!S168</f>
        <v>19362374</v>
      </c>
    </row>
    <row r="31" spans="1:8" ht="30" x14ac:dyDescent="0.25">
      <c r="A31" s="83">
        <v>2141</v>
      </c>
      <c r="B31" s="83" t="str">
        <f>Лист1!B32</f>
        <v>поддержка деятельности некоммерческих организаций, за исключением социально ориентированных некоммерческих организаций</v>
      </c>
      <c r="C31" s="65">
        <f>Лист1!N32</f>
        <v>222777.5</v>
      </c>
      <c r="D31" s="65">
        <f>Лист1!O32</f>
        <v>222777.5</v>
      </c>
      <c r="E31" s="65">
        <f>Лист1!P32</f>
        <v>320101</v>
      </c>
      <c r="F31" s="65">
        <f>Лист1!Q32</f>
        <v>320101</v>
      </c>
      <c r="G31" s="65">
        <f>Лист1!R32</f>
        <v>320101</v>
      </c>
      <c r="H31" s="65">
        <f>Лист1!S32</f>
        <v>320101</v>
      </c>
    </row>
    <row r="32" spans="1:8" ht="24" customHeight="1" x14ac:dyDescent="0.25">
      <c r="A32" s="56">
        <v>2201</v>
      </c>
      <c r="B32" s="56" t="str">
        <f>Лист1!B26</f>
        <v xml:space="preserve">финансирование органов местного самоуправления  </v>
      </c>
      <c r="C32" s="65">
        <f>Лист1!N26+Лист1!N98+Лист1!N118+Лист1!N151+Лист1!N173+Лист1!N191+Лист1!N203+Лист1!N207</f>
        <v>86477464.370000005</v>
      </c>
      <c r="D32" s="65">
        <f>Лист1!O26+Лист1!O98+Лист1!O118+Лист1!O151+Лист1!O173+Лист1!O191+Лист1!O203+Лист1!O207</f>
        <v>85841363.950000018</v>
      </c>
      <c r="E32" s="65">
        <f>Лист1!P26+Лист1!P98+Лист1!P118+Лист1!P151+Лист1!P173+Лист1!P191+Лист1!P203+Лист1!P207</f>
        <v>91459258.400000006</v>
      </c>
      <c r="F32" s="65">
        <f>Лист1!Q26+Лист1!Q98+Лист1!Q118+Лист1!Q151+Лист1!Q173+Лист1!Q191+Лист1!Q203+Лист1!Q207</f>
        <v>89690966</v>
      </c>
      <c r="G32" s="65">
        <f>Лист1!R26+Лист1!R98+Лист1!R118+Лист1!R151+Лист1!R173+Лист1!R191+Лист1!R203+Лист1!R207</f>
        <v>83990241</v>
      </c>
      <c r="H32" s="65">
        <f>Лист1!S26+Лист1!S98+Лист1!S118+Лист1!S151+Лист1!S173+Лист1!S191+Лист1!S203+Лист1!S207</f>
        <v>86044938</v>
      </c>
    </row>
    <row r="33" spans="1:8" x14ac:dyDescent="0.25">
      <c r="A33" s="56">
        <v>2202</v>
      </c>
      <c r="B33" s="56" t="s">
        <v>397</v>
      </c>
      <c r="C33" s="65">
        <f>Лист1!N69</f>
        <v>602</v>
      </c>
      <c r="D33" s="65">
        <f>Лист1!O69</f>
        <v>601.62</v>
      </c>
      <c r="E33" s="65">
        <f>Лист1!P69</f>
        <v>0</v>
      </c>
      <c r="F33" s="65">
        <f>Лист1!Q69</f>
        <v>0</v>
      </c>
      <c r="G33" s="65">
        <f>Лист1!R69</f>
        <v>0</v>
      </c>
      <c r="H33" s="65">
        <f>Лист1!S69</f>
        <v>0</v>
      </c>
    </row>
    <row r="34" spans="1:8" ht="60" x14ac:dyDescent="0.25">
      <c r="A34" s="57">
        <v>2206</v>
      </c>
      <c r="B34" s="56" t="s">
        <v>384</v>
      </c>
      <c r="C34" s="65" t="e">
        <f>Лист1!N28+Лист1!#REF!+Лист1!N153+Лист1!N175</f>
        <v>#REF!</v>
      </c>
      <c r="D34" s="65" t="e">
        <f>Лист1!O28+Лист1!#REF!+Лист1!O153+Лист1!O175</f>
        <v>#REF!</v>
      </c>
      <c r="E34" s="65" t="e">
        <f>Лист1!P28+Лист1!#REF!+Лист1!P153+Лист1!P175</f>
        <v>#REF!</v>
      </c>
      <c r="F34" s="65" t="e">
        <f>Лист1!Q28+Лист1!#REF!+Лист1!Q153+Лист1!Q175</f>
        <v>#REF!</v>
      </c>
      <c r="G34" s="65" t="e">
        <f>Лист1!R28+Лист1!#REF!+Лист1!R153+Лист1!R175</f>
        <v>#REF!</v>
      </c>
      <c r="H34" s="65" t="e">
        <f>Лист1!S28+Лист1!#REF!+Лист1!S153+Лист1!S175</f>
        <v>#REF!</v>
      </c>
    </row>
    <row r="35" spans="1:8" ht="75" x14ac:dyDescent="0.25">
      <c r="A35" s="56">
        <v>2211</v>
      </c>
      <c r="B35" s="83" t="s">
        <v>399</v>
      </c>
      <c r="C35" s="65">
        <f>Лист1!N30</f>
        <v>9586408.9000000004</v>
      </c>
      <c r="D35" s="65">
        <f>Лист1!O30</f>
        <v>9586408.9000000004</v>
      </c>
      <c r="E35" s="65">
        <f>Лист1!P30</f>
        <v>0</v>
      </c>
      <c r="F35" s="65">
        <f>Лист1!Q30</f>
        <v>0</v>
      </c>
      <c r="G35" s="65">
        <f>Лист1!R30</f>
        <v>0</v>
      </c>
      <c r="H35" s="65">
        <f>Лист1!S30</f>
        <v>0</v>
      </c>
    </row>
    <row r="36" spans="1:8" ht="30" x14ac:dyDescent="0.25">
      <c r="A36" s="83">
        <v>2218</v>
      </c>
      <c r="B36" s="83" t="s">
        <v>361</v>
      </c>
      <c r="C36" s="65" t="e">
        <f>Лист1!#REF!</f>
        <v>#REF!</v>
      </c>
      <c r="D36" s="65" t="e">
        <f>Лист1!#REF!</f>
        <v>#REF!</v>
      </c>
      <c r="E36" s="65" t="e">
        <f>Лист1!#REF!</f>
        <v>#REF!</v>
      </c>
      <c r="F36" s="65" t="e">
        <f>Лист1!#REF!</f>
        <v>#REF!</v>
      </c>
      <c r="G36" s="65" t="e">
        <f>Лист1!#REF!</f>
        <v>#REF!</v>
      </c>
      <c r="H36" s="65" t="e">
        <f>Лист1!#REF!</f>
        <v>#REF!</v>
      </c>
    </row>
    <row r="37" spans="1:8" ht="57" x14ac:dyDescent="0.25">
      <c r="A37" s="17" t="s">
        <v>59</v>
      </c>
      <c r="B37" s="17" t="s">
        <v>58</v>
      </c>
      <c r="C37" s="66" t="e">
        <f t="shared" ref="C37:H37" si="1">SUM(C38:C47)</f>
        <v>#REF!</v>
      </c>
      <c r="D37" s="66" t="e">
        <f t="shared" si="1"/>
        <v>#REF!</v>
      </c>
      <c r="E37" s="66" t="e">
        <f t="shared" si="1"/>
        <v>#REF!</v>
      </c>
      <c r="F37" s="66" t="e">
        <f t="shared" si="1"/>
        <v>#REF!</v>
      </c>
      <c r="G37" s="66" t="e">
        <f t="shared" si="1"/>
        <v>#REF!</v>
      </c>
      <c r="H37" s="66" t="e">
        <f t="shared" si="1"/>
        <v>#REF!</v>
      </c>
    </row>
    <row r="38" spans="1:8" x14ac:dyDescent="0.25">
      <c r="A38" s="56">
        <v>2603</v>
      </c>
      <c r="B38" s="56" t="s">
        <v>386</v>
      </c>
      <c r="C38" s="65" t="e">
        <f>Лист1!#REF!</f>
        <v>#REF!</v>
      </c>
      <c r="D38" s="65" t="e">
        <f>Лист1!#REF!</f>
        <v>#REF!</v>
      </c>
      <c r="E38" s="65" t="e">
        <f>Лист1!#REF!</f>
        <v>#REF!</v>
      </c>
      <c r="F38" s="65" t="e">
        <f>Лист1!#REF!</f>
        <v>#REF!</v>
      </c>
      <c r="G38" s="65" t="e">
        <f>Лист1!#REF!</f>
        <v>#REF!</v>
      </c>
      <c r="H38" s="65" t="e">
        <f>Лист1!#REF!</f>
        <v>#REF!</v>
      </c>
    </row>
    <row r="39" spans="1:8" x14ac:dyDescent="0.25">
      <c r="A39" s="10">
        <v>2605</v>
      </c>
      <c r="B39" s="10" t="s">
        <v>385</v>
      </c>
      <c r="C39" s="65">
        <f>Лист1!N38</f>
        <v>267890</v>
      </c>
      <c r="D39" s="65">
        <f>Лист1!O38</f>
        <v>267890</v>
      </c>
      <c r="E39" s="65">
        <f>Лист1!P38</f>
        <v>286500</v>
      </c>
      <c r="F39" s="65">
        <f>Лист1!Q38</f>
        <v>286500</v>
      </c>
      <c r="G39" s="65">
        <f>Лист1!R38</f>
        <v>286500</v>
      </c>
      <c r="H39" s="65">
        <f>Лист1!S38</f>
        <v>286500</v>
      </c>
    </row>
    <row r="40" spans="1:8" ht="135" x14ac:dyDescent="0.25">
      <c r="A40" s="10">
        <v>2622</v>
      </c>
      <c r="B40" s="10" t="s">
        <v>400</v>
      </c>
      <c r="C40" s="65" t="e">
        <f>Лист1!#REF!+Лист1!N102+Лист1!N107+Лист1!#REF!</f>
        <v>#REF!</v>
      </c>
      <c r="D40" s="65" t="e">
        <f>Лист1!#REF!+Лист1!O102+Лист1!O107+Лист1!#REF!</f>
        <v>#REF!</v>
      </c>
      <c r="E40" s="65" t="e">
        <f>Лист1!#REF!+Лист1!P102+Лист1!P107+Лист1!#REF!</f>
        <v>#REF!</v>
      </c>
      <c r="F40" s="65" t="e">
        <f>Лист1!#REF!+Лист1!Q102+Лист1!Q107+Лист1!#REF!</f>
        <v>#REF!</v>
      </c>
      <c r="G40" s="65" t="e">
        <f>Лист1!#REF!+Лист1!R102+Лист1!R107+Лист1!#REF!</f>
        <v>#REF!</v>
      </c>
      <c r="H40" s="65" t="e">
        <f>Лист1!#REF!+Лист1!S102+Лист1!S107+Лист1!#REF!</f>
        <v>#REF!</v>
      </c>
    </row>
    <row r="41" spans="1:8" ht="30" x14ac:dyDescent="0.25">
      <c r="A41" s="56">
        <v>2628</v>
      </c>
      <c r="B41" s="56" t="s">
        <v>387</v>
      </c>
      <c r="C41" s="65">
        <f>Лист1!N60</f>
        <v>45812854.689999998</v>
      </c>
      <c r="D41" s="65">
        <f>Лист1!O60</f>
        <v>45623524</v>
      </c>
      <c r="E41" s="65">
        <f>Лист1!P60</f>
        <v>67101643.259999998</v>
      </c>
      <c r="F41" s="65">
        <f>Лист1!Q60</f>
        <v>95406600</v>
      </c>
      <c r="G41" s="65">
        <f>Лист1!R60</f>
        <v>49587600</v>
      </c>
      <c r="H41" s="65">
        <f>Лист1!S60</f>
        <v>35419700</v>
      </c>
    </row>
    <row r="42" spans="1:8" ht="180" x14ac:dyDescent="0.25">
      <c r="A42" s="10">
        <v>2640</v>
      </c>
      <c r="B42" s="10" t="s">
        <v>401</v>
      </c>
      <c r="C42" s="65" t="e">
        <f>Лист1!N106+Лист1!#REF!+Лист1!#REF!+Лист1!#REF!</f>
        <v>#REF!</v>
      </c>
      <c r="D42" s="65" t="e">
        <f>Лист1!O106+Лист1!#REF!+Лист1!#REF!+Лист1!#REF!</f>
        <v>#REF!</v>
      </c>
      <c r="E42" s="65" t="e">
        <f>Лист1!P106+Лист1!#REF!+Лист1!#REF!+Лист1!#REF!</f>
        <v>#REF!</v>
      </c>
      <c r="F42" s="65" t="e">
        <f>Лист1!Q106+Лист1!#REF!+Лист1!#REF!+Лист1!#REF!</f>
        <v>#REF!</v>
      </c>
      <c r="G42" s="65" t="e">
        <f>Лист1!R106+Лист1!#REF!+Лист1!#REF!+Лист1!#REF!</f>
        <v>#REF!</v>
      </c>
      <c r="H42" s="65" t="e">
        <f>Лист1!S106+Лист1!#REF!+Лист1!#REF!+Лист1!#REF!</f>
        <v>#REF!</v>
      </c>
    </row>
    <row r="43" spans="1:8" ht="75" x14ac:dyDescent="0.25">
      <c r="A43" s="56">
        <v>2641</v>
      </c>
      <c r="B43" s="56" t="s">
        <v>402</v>
      </c>
      <c r="C43" s="65">
        <f>Лист1!N39+Лист1!N41+Лист1!N43</f>
        <v>3169800</v>
      </c>
      <c r="D43" s="65">
        <f>Лист1!O39+Лист1!O41+Лист1!O43</f>
        <v>3169800</v>
      </c>
      <c r="E43" s="65">
        <f>Лист1!P39+Лист1!P41+Лист1!P43</f>
        <v>3599900</v>
      </c>
      <c r="F43" s="65">
        <f>Лист1!Q39+Лист1!Q41+Лист1!Q43</f>
        <v>3599900</v>
      </c>
      <c r="G43" s="65">
        <f>Лист1!R39+Лист1!R41+Лист1!R43</f>
        <v>3599900</v>
      </c>
      <c r="H43" s="65">
        <f>Лист1!S39+Лист1!S41+Лист1!S43</f>
        <v>3528600</v>
      </c>
    </row>
    <row r="44" spans="1:8" x14ac:dyDescent="0.25">
      <c r="A44" s="56">
        <v>2642</v>
      </c>
      <c r="B44" s="10" t="s">
        <v>388</v>
      </c>
      <c r="C44" s="65">
        <f>Лист1!N109</f>
        <v>8511700</v>
      </c>
      <c r="D44" s="65">
        <f>Лист1!O109</f>
        <v>8394814.8100000005</v>
      </c>
      <c r="E44" s="65">
        <f>Лист1!P109</f>
        <v>9309100</v>
      </c>
      <c r="F44" s="65">
        <f>Лист1!Q109</f>
        <v>9309100</v>
      </c>
      <c r="G44" s="65">
        <f>Лист1!R109</f>
        <v>9309100</v>
      </c>
      <c r="H44" s="65">
        <f>Лист1!S109</f>
        <v>9309100</v>
      </c>
    </row>
    <row r="45" spans="1:8" ht="105" x14ac:dyDescent="0.25">
      <c r="A45" s="95">
        <v>2643</v>
      </c>
      <c r="B45" s="96" t="s">
        <v>407</v>
      </c>
      <c r="C45" s="65">
        <f>Лист1!N108</f>
        <v>0</v>
      </c>
      <c r="D45" s="65">
        <f>Лист1!O108</f>
        <v>0</v>
      </c>
      <c r="E45" s="65">
        <f>Лист1!P108</f>
        <v>14931500</v>
      </c>
      <c r="F45" s="65">
        <f>Лист1!Q108</f>
        <v>14931500</v>
      </c>
      <c r="G45" s="65">
        <f>Лист1!R108</f>
        <v>14931500</v>
      </c>
      <c r="H45" s="65">
        <f>Лист1!S108</f>
        <v>14832500</v>
      </c>
    </row>
    <row r="46" spans="1:8" ht="60" x14ac:dyDescent="0.25">
      <c r="A46" s="10">
        <v>2660</v>
      </c>
      <c r="B46" s="10" t="s">
        <v>390</v>
      </c>
      <c r="C46" s="65">
        <f>Лист1!N157</f>
        <v>2048720</v>
      </c>
      <c r="D46" s="65">
        <f>Лист1!O157</f>
        <v>2048200.89</v>
      </c>
      <c r="E46" s="65">
        <f>Лист1!P157</f>
        <v>2157700</v>
      </c>
      <c r="F46" s="65">
        <f>Лист1!Q157</f>
        <v>2157700</v>
      </c>
      <c r="G46" s="65">
        <f>Лист1!R157</f>
        <v>2157700</v>
      </c>
      <c r="H46" s="65">
        <f>Лист1!S157</f>
        <v>2084900</v>
      </c>
    </row>
    <row r="47" spans="1:8" ht="45" x14ac:dyDescent="0.25">
      <c r="A47" s="56">
        <v>2670</v>
      </c>
      <c r="B47" s="56" t="s">
        <v>389</v>
      </c>
      <c r="C47" s="65">
        <f>Лист1!N156</f>
        <v>20584900</v>
      </c>
      <c r="D47" s="65">
        <f>Лист1!O156</f>
        <v>12958531.5</v>
      </c>
      <c r="E47" s="65">
        <f>Лист1!P156</f>
        <v>31349500</v>
      </c>
      <c r="F47" s="65">
        <f>Лист1!Q156</f>
        <v>55158100</v>
      </c>
      <c r="G47" s="65">
        <f>Лист1!R156</f>
        <v>55158100</v>
      </c>
      <c r="H47" s="65">
        <f>Лист1!S156</f>
        <v>55158100</v>
      </c>
    </row>
    <row r="48" spans="1:8" x14ac:dyDescent="0.25">
      <c r="A48" s="22"/>
      <c r="B48" s="68" t="s">
        <v>381</v>
      </c>
      <c r="C48" s="66" t="e">
        <f>C8+C37</f>
        <v>#REF!</v>
      </c>
      <c r="D48" s="66" t="e">
        <f>D37+D8</f>
        <v>#REF!</v>
      </c>
      <c r="E48" s="66" t="e">
        <f>E37+E8</f>
        <v>#REF!</v>
      </c>
      <c r="F48" s="66" t="e">
        <f>F37+F8</f>
        <v>#REF!</v>
      </c>
      <c r="G48" s="66" t="e">
        <f>G37+G8</f>
        <v>#REF!</v>
      </c>
      <c r="H48" s="66" t="e">
        <f>H37+H8</f>
        <v>#REF!</v>
      </c>
    </row>
    <row r="49" spans="2:8" x14ac:dyDescent="0.25">
      <c r="B49" s="38" t="s">
        <v>403</v>
      </c>
      <c r="C49" s="47"/>
      <c r="D49" s="47"/>
      <c r="E49" s="47"/>
      <c r="F49" s="47"/>
      <c r="G49" s="47"/>
      <c r="H49" s="47"/>
    </row>
    <row r="50" spans="2:8" x14ac:dyDescent="0.25">
      <c r="C50" s="67" t="e">
        <f>C48-C49</f>
        <v>#REF!</v>
      </c>
      <c r="D50" s="67" t="e">
        <f t="shared" ref="D50:H50" si="2">D48-D49</f>
        <v>#REF!</v>
      </c>
      <c r="E50" s="67" t="e">
        <f t="shared" si="2"/>
        <v>#REF!</v>
      </c>
      <c r="F50" s="67" t="e">
        <f t="shared" si="2"/>
        <v>#REF!</v>
      </c>
      <c r="G50" s="67" t="e">
        <f t="shared" si="2"/>
        <v>#REF!</v>
      </c>
      <c r="H50" s="67" t="e">
        <f t="shared" si="2"/>
        <v>#REF!</v>
      </c>
    </row>
    <row r="52" spans="2:8" x14ac:dyDescent="0.25">
      <c r="C52" s="67">
        <v>2197002039.6799998</v>
      </c>
      <c r="D52" s="67">
        <v>2158639125.7800002</v>
      </c>
      <c r="E52" s="67">
        <v>2103817654.3</v>
      </c>
      <c r="F52" s="67">
        <v>1977338403</v>
      </c>
      <c r="G52" s="67">
        <v>1943385003</v>
      </c>
      <c r="H52" s="67">
        <v>1943385003</v>
      </c>
    </row>
    <row r="53" spans="2:8" x14ac:dyDescent="0.25">
      <c r="C53" s="67" t="e">
        <f>C50-C52</f>
        <v>#REF!</v>
      </c>
      <c r="D53" s="67" t="e">
        <f t="shared" ref="D53:H53" si="3">D50-D52</f>
        <v>#REF!</v>
      </c>
      <c r="E53" s="67" t="e">
        <f t="shared" si="3"/>
        <v>#REF!</v>
      </c>
      <c r="F53" s="67" t="e">
        <f t="shared" si="3"/>
        <v>#REF!</v>
      </c>
      <c r="G53" s="67" t="e">
        <f t="shared" si="3"/>
        <v>#REF!</v>
      </c>
      <c r="H53" s="67" t="e">
        <f t="shared" si="3"/>
        <v>#REF!</v>
      </c>
    </row>
  </sheetData>
  <mergeCells count="4">
    <mergeCell ref="C5:D5"/>
    <mergeCell ref="F5:H5"/>
    <mergeCell ref="A5:A6"/>
    <mergeCell ref="B5:B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120</dc:creator>
  <cp:lastModifiedBy>121</cp:lastModifiedBy>
  <cp:lastPrinted>2018-11-14T06:49:17Z</cp:lastPrinted>
  <dcterms:created xsi:type="dcterms:W3CDTF">2017-10-12T06:20:04Z</dcterms:created>
  <dcterms:modified xsi:type="dcterms:W3CDTF">2021-06-21T03:57:01Z</dcterms:modified>
</cp:coreProperties>
</file>