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S172" i="1" l="1"/>
  <c r="R172" i="1"/>
  <c r="Q172" i="1"/>
  <c r="P172" i="1"/>
  <c r="P162" i="1"/>
  <c r="R191" i="1" l="1"/>
  <c r="Q191" i="1"/>
  <c r="P191" i="1"/>
  <c r="S162" i="1"/>
  <c r="R162" i="1"/>
  <c r="Q162" i="1"/>
  <c r="R128" i="1"/>
  <c r="Q128" i="1"/>
  <c r="S155" i="1"/>
  <c r="R155" i="1"/>
  <c r="Q155" i="1"/>
  <c r="P155" i="1"/>
  <c r="R145" i="1"/>
  <c r="Q145" i="1"/>
  <c r="P145" i="1"/>
  <c r="P128" i="1"/>
  <c r="R121" i="1" l="1"/>
  <c r="Q121" i="1"/>
  <c r="P121" i="1"/>
  <c r="S113" i="1" l="1"/>
  <c r="R113" i="1"/>
  <c r="Q113" i="1"/>
  <c r="P113" i="1"/>
  <c r="R111" i="1"/>
  <c r="Q111" i="1"/>
  <c r="P111" i="1"/>
  <c r="R83" i="1"/>
  <c r="Q83" i="1"/>
  <c r="P83" i="1"/>
  <c r="E18" i="3"/>
  <c r="D18" i="3"/>
  <c r="C18" i="3"/>
  <c r="E15" i="3"/>
  <c r="D15" i="3"/>
  <c r="C15" i="3"/>
  <c r="R75" i="1"/>
  <c r="Q75" i="1"/>
  <c r="P75" i="1"/>
  <c r="R56" i="1"/>
  <c r="Q56" i="1"/>
  <c r="P56" i="1"/>
  <c r="P48" i="1"/>
  <c r="Q14" i="1"/>
  <c r="P14" i="1"/>
  <c r="R26" i="1"/>
  <c r="Q26" i="1"/>
  <c r="P26" i="1"/>
  <c r="Q11" i="1"/>
  <c r="P11" i="1"/>
  <c r="R183" i="1" l="1"/>
  <c r="S10" i="1"/>
  <c r="R10" i="1"/>
  <c r="Q10" i="1"/>
  <c r="P10" i="1"/>
  <c r="O10" i="1"/>
  <c r="N10" i="1"/>
  <c r="N177" i="1" l="1"/>
  <c r="S120" i="1" l="1"/>
  <c r="R120" i="1"/>
  <c r="Q120" i="1"/>
  <c r="S161" i="1" l="1"/>
  <c r="R161" i="1"/>
  <c r="Q161" i="1"/>
  <c r="P161" i="1"/>
  <c r="O162" i="1"/>
  <c r="O161" i="1" s="1"/>
  <c r="N162" i="1"/>
  <c r="N161" i="1" s="1"/>
  <c r="O30" i="1"/>
  <c r="N30" i="1"/>
  <c r="O26" i="1"/>
  <c r="N26" i="1"/>
  <c r="N17" i="1" l="1"/>
  <c r="O17" i="1"/>
  <c r="S97" i="1" l="1"/>
  <c r="R97" i="1"/>
  <c r="Q97" i="1"/>
  <c r="P97" i="1"/>
  <c r="O97" i="1"/>
  <c r="N97" i="1"/>
  <c r="S82" i="1"/>
  <c r="R82" i="1"/>
  <c r="Q82" i="1" l="1"/>
  <c r="S33" i="1" l="1"/>
  <c r="S220" i="1" s="1"/>
  <c r="R33" i="1"/>
  <c r="R220" i="1" s="1"/>
  <c r="Q33" i="1"/>
  <c r="Q220" i="1" s="1"/>
  <c r="P33" i="1"/>
  <c r="P220" i="1" s="1"/>
  <c r="O33" i="1"/>
  <c r="O220" i="1" s="1"/>
  <c r="N33" i="1"/>
  <c r="N220" i="1" s="1"/>
  <c r="R226" i="1"/>
  <c r="Q226" i="1"/>
  <c r="P120" i="1"/>
  <c r="P82" i="1" l="1"/>
  <c r="S101" i="1"/>
  <c r="R101" i="1"/>
  <c r="Q101" i="1"/>
  <c r="P101" i="1"/>
  <c r="O101" i="1"/>
  <c r="N101" i="1"/>
  <c r="S110" i="1"/>
  <c r="S222" i="1" s="1"/>
  <c r="R110" i="1"/>
  <c r="R222" i="1" s="1"/>
  <c r="Q110" i="1"/>
  <c r="Q222" i="1" s="1"/>
  <c r="P110" i="1"/>
  <c r="P222" i="1" s="1"/>
  <c r="P81" i="1" l="1"/>
  <c r="O113" i="1"/>
  <c r="N113" i="1"/>
  <c r="O111" i="1"/>
  <c r="N111" i="1"/>
  <c r="P37" i="1"/>
  <c r="O110" i="1" l="1"/>
  <c r="O222" i="1" s="1"/>
  <c r="N110" i="1"/>
  <c r="N222" i="1" s="1"/>
  <c r="O153" i="1" l="1"/>
  <c r="N153" i="1"/>
  <c r="O124" i="1"/>
  <c r="N124" i="1"/>
  <c r="S63" i="1" l="1"/>
  <c r="R63" i="1"/>
  <c r="Q63" i="1"/>
  <c r="P63" i="1"/>
  <c r="O63" i="1"/>
  <c r="N63" i="1"/>
  <c r="O65" i="1" l="1"/>
  <c r="O191" i="1"/>
  <c r="N191" i="1"/>
  <c r="O145" i="1" l="1"/>
  <c r="N145" i="1"/>
  <c r="O134" i="1"/>
  <c r="N134" i="1"/>
  <c r="O128" i="1"/>
  <c r="N128" i="1"/>
  <c r="O121" i="1"/>
  <c r="O120" i="1" s="1"/>
  <c r="N121" i="1"/>
  <c r="O83" i="1"/>
  <c r="O82" i="1" s="1"/>
  <c r="O81" i="1" s="1"/>
  <c r="N83" i="1"/>
  <c r="N82" i="1" s="1"/>
  <c r="N81" i="1" s="1"/>
  <c r="O75" i="1"/>
  <c r="N75" i="1"/>
  <c r="N66" i="1"/>
  <c r="N65" i="1" s="1"/>
  <c r="N56" i="1"/>
  <c r="O56" i="1"/>
  <c r="O48" i="1"/>
  <c r="N48" i="1"/>
  <c r="O14" i="1"/>
  <c r="N14" i="1"/>
  <c r="O11" i="1"/>
  <c r="N11" i="1"/>
  <c r="N120" i="1" l="1"/>
  <c r="S199" i="1"/>
  <c r="R199" i="1"/>
  <c r="Q199" i="1"/>
  <c r="P199" i="1"/>
  <c r="O199" i="1"/>
  <c r="N199" i="1"/>
  <c r="S117" i="1" l="1"/>
  <c r="S116" i="1" s="1"/>
  <c r="R117" i="1"/>
  <c r="R116" i="1" s="1"/>
  <c r="Q117" i="1"/>
  <c r="Q116" i="1" s="1"/>
  <c r="P117" i="1"/>
  <c r="P116" i="1" s="1"/>
  <c r="O117" i="1"/>
  <c r="O116" i="1" s="1"/>
  <c r="N117" i="1"/>
  <c r="N116" i="1" s="1"/>
  <c r="S226" i="1" l="1"/>
  <c r="S75" i="1" l="1"/>
  <c r="O37" i="1" l="1"/>
  <c r="N37" i="1"/>
  <c r="S65" i="1" l="1"/>
  <c r="P65" i="1" l="1"/>
  <c r="R65" i="1"/>
  <c r="Q65" i="1"/>
  <c r="S37" i="1" l="1"/>
  <c r="R37" i="1"/>
  <c r="Q37" i="1"/>
  <c r="N47" i="1" l="1"/>
  <c r="S55" i="1" l="1"/>
  <c r="R55" i="1"/>
  <c r="Q55" i="1"/>
  <c r="P55" i="1"/>
  <c r="O55" i="1"/>
  <c r="N55"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77" i="1" l="1"/>
  <c r="R177" i="1"/>
  <c r="Q177" i="1"/>
  <c r="P177" i="1"/>
  <c r="P160" i="1" s="1"/>
  <c r="O177" i="1"/>
  <c r="H36" i="2" l="1"/>
  <c r="G36" i="2"/>
  <c r="F36" i="2"/>
  <c r="E36" i="2"/>
  <c r="D36" i="2"/>
  <c r="C36" i="2"/>
  <c r="H35" i="2"/>
  <c r="G35" i="2"/>
  <c r="F35" i="2"/>
  <c r="E35" i="2"/>
  <c r="D35" i="2"/>
  <c r="C35" i="2"/>
  <c r="H33" i="2"/>
  <c r="G33" i="2"/>
  <c r="F33" i="2"/>
  <c r="E33" i="2"/>
  <c r="D33" i="2"/>
  <c r="C33" i="2"/>
  <c r="B32" i="2"/>
  <c r="S207" i="1"/>
  <c r="S198" i="1" s="1"/>
  <c r="R207" i="1"/>
  <c r="R198" i="1" s="1"/>
  <c r="Q207" i="1"/>
  <c r="Q198" i="1" s="1"/>
  <c r="P207" i="1"/>
  <c r="O207" i="1"/>
  <c r="N207" i="1"/>
  <c r="P211" i="1"/>
  <c r="Q211" i="1"/>
  <c r="S183" i="1"/>
  <c r="S195" i="1"/>
  <c r="R195" i="1"/>
  <c r="Q195" i="1"/>
  <c r="P195" i="1"/>
  <c r="O195" i="1"/>
  <c r="N195" i="1"/>
  <c r="O160" i="1"/>
  <c r="S150" i="1"/>
  <c r="R150" i="1"/>
  <c r="Q150" i="1"/>
  <c r="P150" i="1"/>
  <c r="O150" i="1"/>
  <c r="N150" i="1"/>
  <c r="S81" i="1"/>
  <c r="F17" i="2"/>
  <c r="E17" i="2"/>
  <c r="S25" i="1"/>
  <c r="S9" i="1" s="1"/>
  <c r="R25" i="1"/>
  <c r="R9" i="1" s="1"/>
  <c r="Q25" i="1"/>
  <c r="Q9" i="1" s="1"/>
  <c r="P25" i="1"/>
  <c r="P9" i="1" s="1"/>
  <c r="O25" i="1"/>
  <c r="N25" i="1"/>
  <c r="N9" i="1" l="1"/>
  <c r="P210" i="1"/>
  <c r="Q210" i="1"/>
  <c r="G17" i="2"/>
  <c r="S182" i="1"/>
  <c r="N160" i="1"/>
  <c r="R62" i="1"/>
  <c r="P62" i="1"/>
  <c r="S62" i="1"/>
  <c r="H45" i="2"/>
  <c r="G45" i="2"/>
  <c r="F45" i="2"/>
  <c r="E45" i="2"/>
  <c r="D45" i="2"/>
  <c r="C45" i="2"/>
  <c r="Q81" i="1" l="1"/>
  <c r="R81" i="1"/>
  <c r="P183" i="1"/>
  <c r="P182" i="1" s="1"/>
  <c r="O62" i="1" l="1"/>
  <c r="N62"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2" i="1" l="1"/>
  <c r="Q183" i="1"/>
  <c r="Q182" i="1" s="1"/>
  <c r="G41" i="2"/>
  <c r="G15" i="2"/>
  <c r="F15" i="2"/>
  <c r="P198" i="1"/>
  <c r="E27" i="2" l="1"/>
  <c r="E8" i="2" s="1"/>
  <c r="F20" i="2"/>
  <c r="G20" i="2"/>
  <c r="F40" i="2"/>
  <c r="G40" i="2"/>
  <c r="O198" i="1"/>
  <c r="D29" i="2"/>
  <c r="C29" i="2"/>
  <c r="O183" i="1"/>
  <c r="N183" i="1"/>
  <c r="D22" i="2"/>
  <c r="C22" i="2"/>
  <c r="O182" i="1" l="1"/>
  <c r="N182" i="1"/>
  <c r="N198" i="1"/>
  <c r="C20" i="2"/>
  <c r="D20" i="2"/>
  <c r="C27" i="2"/>
  <c r="D27" i="2"/>
  <c r="D15" i="2"/>
  <c r="C15" i="2"/>
  <c r="C8" i="2" l="1"/>
  <c r="D8" i="2"/>
  <c r="O9" i="1" l="1"/>
  <c r="F37" i="2"/>
  <c r="G37" i="2"/>
  <c r="E37" i="2"/>
  <c r="E48" i="2" s="1"/>
  <c r="H37" i="2"/>
  <c r="D37" i="2"/>
  <c r="D48" i="2" s="1"/>
  <c r="C37" i="2"/>
  <c r="C48" i="2" s="1"/>
  <c r="Q160" i="1" l="1"/>
  <c r="G8" i="2"/>
  <c r="G48" i="2" s="1"/>
  <c r="G50" i="2" s="1"/>
  <c r="G53" i="2" s="1"/>
  <c r="R160" i="1"/>
  <c r="Q62" i="1"/>
  <c r="E50" i="2"/>
  <c r="E53" i="2" s="1"/>
  <c r="S160" i="1" l="1"/>
  <c r="F8" i="2"/>
  <c r="F48" i="2" s="1"/>
  <c r="F50" i="2" s="1"/>
  <c r="F53" i="2" s="1"/>
  <c r="H8" i="2" l="1"/>
  <c r="H48" i="2" s="1"/>
  <c r="H50" i="2" s="1"/>
  <c r="H53" i="2" s="1"/>
  <c r="C50" i="2"/>
  <c r="C53" i="2" s="1"/>
  <c r="D50" i="2"/>
  <c r="D53" i="2" s="1"/>
  <c r="S215" i="1" l="1"/>
  <c r="S214" i="1" s="1"/>
  <c r="R215" i="1"/>
  <c r="R214" i="1" s="1"/>
  <c r="Q215" i="1"/>
  <c r="P215" i="1"/>
  <c r="O215" i="1"/>
  <c r="N215" i="1"/>
  <c r="S211" i="1"/>
  <c r="R211" i="1"/>
  <c r="O211" i="1"/>
  <c r="O219" i="1" s="1"/>
  <c r="N211" i="1"/>
  <c r="N219" i="1" s="1"/>
  <c r="R119" i="1"/>
  <c r="Q119" i="1"/>
  <c r="P119" i="1"/>
  <c r="O155" i="1"/>
  <c r="N155" i="1"/>
  <c r="S74" i="1"/>
  <c r="S73" i="1" s="1"/>
  <c r="R74" i="1"/>
  <c r="R73" i="1" s="1"/>
  <c r="Q74" i="1"/>
  <c r="Q73" i="1" s="1"/>
  <c r="P74" i="1"/>
  <c r="P73" i="1" s="1"/>
  <c r="O74" i="1"/>
  <c r="N74" i="1"/>
  <c r="N218" i="1" s="1"/>
  <c r="S59" i="1"/>
  <c r="S221" i="1" s="1"/>
  <c r="R59" i="1"/>
  <c r="R221" i="1" s="1"/>
  <c r="Q59" i="1"/>
  <c r="Q221" i="1" s="1"/>
  <c r="P59" i="1"/>
  <c r="P221" i="1" s="1"/>
  <c r="O59" i="1"/>
  <c r="O221" i="1" s="1"/>
  <c r="N59" i="1"/>
  <c r="S47" i="1"/>
  <c r="S218" i="1" s="1"/>
  <c r="R47" i="1"/>
  <c r="R218" i="1" s="1"/>
  <c r="Q47" i="1"/>
  <c r="P47" i="1"/>
  <c r="O47" i="1"/>
  <c r="O218" i="1" s="1"/>
  <c r="S219" i="1" l="1"/>
  <c r="S223" i="1" s="1"/>
  <c r="S229" i="1" s="1"/>
  <c r="P218" i="1"/>
  <c r="R219" i="1"/>
  <c r="R223" i="1" s="1"/>
  <c r="R229" i="1" s="1"/>
  <c r="Q218" i="1"/>
  <c r="O223" i="1"/>
  <c r="N46" i="1"/>
  <c r="N221" i="1"/>
  <c r="N223" i="1" s="1"/>
  <c r="P214" i="1"/>
  <c r="P219" i="1"/>
  <c r="Q214" i="1"/>
  <c r="Q219" i="1"/>
  <c r="O119" i="1"/>
  <c r="N119" i="1"/>
  <c r="S119" i="1"/>
  <c r="O73" i="1"/>
  <c r="N214" i="1"/>
  <c r="O214" i="1"/>
  <c r="Q46" i="1"/>
  <c r="R46" i="1"/>
  <c r="N73" i="1"/>
  <c r="P46" i="1"/>
  <c r="S46" i="1"/>
  <c r="O46" i="1"/>
  <c r="S210" i="1"/>
  <c r="R210" i="1"/>
  <c r="N210" i="1"/>
  <c r="O210" i="1"/>
  <c r="P223" i="1" l="1"/>
  <c r="P224" i="1"/>
  <c r="P227" i="1" s="1"/>
  <c r="Q223" i="1"/>
  <c r="Q229" i="1" s="1"/>
  <c r="N224" i="1"/>
  <c r="N227" i="1" s="1"/>
  <c r="S227" i="1"/>
  <c r="R224" i="1"/>
  <c r="S224" i="1"/>
  <c r="O224" i="1"/>
  <c r="Q224" i="1"/>
  <c r="O227" i="1" l="1"/>
  <c r="O225" i="1"/>
  <c r="R227" i="1"/>
  <c r="Q227" i="1"/>
  <c r="S225" i="1"/>
  <c r="N225" i="1"/>
  <c r="R225" i="1"/>
  <c r="Q225" i="1"/>
  <c r="P225" i="1"/>
</calcChain>
</file>

<file path=xl/comments1.xml><?xml version="1.0" encoding="utf-8"?>
<comments xmlns="http://schemas.openxmlformats.org/spreadsheetml/2006/main">
  <authors>
    <author>121</author>
  </authors>
  <commentList>
    <comment ref="K102" authorId="0">
      <text>
        <r>
          <rPr>
            <b/>
            <sz val="9"/>
            <color indexed="81"/>
            <rFont val="Tahoma"/>
            <family val="2"/>
            <charset val="204"/>
          </rPr>
          <t>121:</t>
        </r>
        <r>
          <rPr>
            <sz val="9"/>
            <color indexed="81"/>
            <rFont val="Tahoma"/>
            <family val="2"/>
            <charset val="204"/>
          </rPr>
          <t xml:space="preserve">
переработать 
</t>
        </r>
      </text>
    </comment>
    <comment ref="K106" authorId="0">
      <text>
        <r>
          <rPr>
            <b/>
            <sz val="9"/>
            <color indexed="81"/>
            <rFont val="Tahoma"/>
            <family val="2"/>
            <charset val="204"/>
          </rPr>
          <t>121:</t>
        </r>
        <r>
          <rPr>
            <sz val="9"/>
            <color indexed="81"/>
            <rFont val="Tahoma"/>
            <family val="2"/>
            <charset val="204"/>
          </rPr>
          <t xml:space="preserve">
переработать
МКУ УО</t>
        </r>
      </text>
    </comment>
    <comment ref="K107"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<sst xmlns="http://schemas.openxmlformats.org/spreadsheetml/2006/main" count="1120" uniqueCount="572">
  <si>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</si>
  <si>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</si>
  <si>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</si>
  <si>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</si>
  <si>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</si>
  <si>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</si>
  <si>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</si>
  <si>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</si>
  <si>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</si>
  <si>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</si>
  <si>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</si>
  <si>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</si>
  <si>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</si>
  <si>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</si>
  <si>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</si>
  <si>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</si>
  <si>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</si>
  <si>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</si>
  <si>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</si>
  <si>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</si>
  <si>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</si>
  <si>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</si>
  <si>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</si>
  <si>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</si>
  <si>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</si>
  <si>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</si>
  <si>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</si>
  <si>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</si>
  <si>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</si>
  <si>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</si>
  <si>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</si>
  <si>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</si>
  <si>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</si>
  <si>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</si>
  <si>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</si>
  <si>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</si>
  <si>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</si>
  <si>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</si>
  <si>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</si>
  <si>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</si>
  <si>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</si>
  <si>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</si>
  <si>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</si>
  <si>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</si>
  <si>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</si>
  <si>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</si>
  <si>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</si>
  <si>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</si>
  <si>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</si>
  <si>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</si>
  <si>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</si>
  <si>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</si>
  <si>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</si>
  <si>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</si>
  <si>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</si>
  <si>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</si>
  <si>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</si>
  <si>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</si>
  <si>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</si>
  <si>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</si>
  <si>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</si>
  <si>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</si>
  <si>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</si>
  <si>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</si>
  <si>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</si>
  <si>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</si>
  <si>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</si>
  <si>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</si>
  <si>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</si>
  <si>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</si>
  <si>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</si>
  <si>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</si>
  <si>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</si>
  <si>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</si>
  <si>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</si>
  <si>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</si>
  <si>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</si>
  <si>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</si>
  <si>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</si>
  <si>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</si>
  <si>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</si>
  <si>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</si>
  <si>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</si>
  <si>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</si>
  <si>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</si>
  <si>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</si>
  <si>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</si>
  <si>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</si>
  <si>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</si>
  <si>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</si>
  <si>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</si>
  <si>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</si>
  <si>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</si>
  <si>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</si>
  <si>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</si>
  <si>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</si>
  <si>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</si>
  <si>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</si>
  <si>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</si>
  <si>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</si>
  <si>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</si>
  <si>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</si>
  <si>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</si>
  <si>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</si>
  <si>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</si>
  <si>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</si>
  <si>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</si>
  <si>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</si>
  <si>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</si>
  <si>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</si>
  <si>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</si>
  <si>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</si>
  <si>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</si>
  <si>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</si>
  <si>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</si>
  <si>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</si>
  <si>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</si>
  <si>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</si>
  <si>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</si>
  <si>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</si>
  <si>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</si>
  <si>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</si>
  <si>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</si>
  <si>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</si>
  <si>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</si>
  <si>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</si>
  <si>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</si>
  <si>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</si>
  <si>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</si>
  <si>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</si>
  <si>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</si>
  <si>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</si>
  <si>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</si>
  <si>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</si>
  <si>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</si>
  <si>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</si>
  <si>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</si>
  <si>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</si>
  <si>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</si>
  <si>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</si>
  <si>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</si>
  <si>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</si>
  <si>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</si>
  <si>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</si>
  <si>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</si>
  <si>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</si>
  <si>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</si>
  <si>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</si>
  <si>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</si>
  <si>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</si>
  <si>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</si>
  <si>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</si>
  <si>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</si>
  <si>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</si>
  <si>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</si>
  <si>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</si>
  <si>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</si>
  <si>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</si>
  <si>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</si>
  <si>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</si>
  <si>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</si>
  <si>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</si>
  <si>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</si>
  <si>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</si>
  <si>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</si>
  <si>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</si>
  <si>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</si>
  <si>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</si>
  <si>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</si>
  <si>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</si>
  <si>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</si>
  <si>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</si>
  <si>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</si>
  <si>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</si>
  <si>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</si>
  <si>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</si>
  <si>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</si>
  <si>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</si>
  <si>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</si>
  <si>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</si>
  <si>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</si>
  <si>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</si>
  <si>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</si>
  <si>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</si>
  <si>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</si>
  <si>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</si>
  <si>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</si>
  <si>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</si>
  <si>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</si>
  <si>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</si>
  <si>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</si>
  <si>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</si>
  <si>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</si>
  <si>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</si>
  <si>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</si>
  <si>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</si>
  <si>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</si>
  <si>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</si>
  <si>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</si>
  <si>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</si>
  <si>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</si>
  <si>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</si>
  <si>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</si>
  <si>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</si>
  <si>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</si>
  <si>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</si>
  <si>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</si>
  <si>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</si>
  <si>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</si>
  <si>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</si>
  <si>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</si>
  <si>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</si>
  <si>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</si>
  <si>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</si>
  <si>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</si>
  <si>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</si>
  <si>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</si>
  <si>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</si>
  <si>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</si>
  <si>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</si>
  <si>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</si>
  <si>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</si>
  <si>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</si>
  <si>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</si>
  <si>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</si>
  <si>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</si>
  <si>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</si>
  <si>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</si>
  <si>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</si>
  <si>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</si>
  <si>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</si>
  <si>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</si>
  <si>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</si>
  <si>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</si>
  <si>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</si>
  <si>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</si>
  <si>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</si>
  <si>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</si>
  <si>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</si>
  <si>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</si>
  <si>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</si>
  <si>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</si>
  <si>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</si>
  <si>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</si>
  <si>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</si>
  <si>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</si>
  <si>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</si>
  <si>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</si>
  <si>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</si>
  <si>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</si>
  <si>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</si>
  <si>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</si>
  <si>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</si>
  <si>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</si>
  <si>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</si>
  <si>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</si>
  <si>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</si>
  <si>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</si>
  <si>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</si>
  <si>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</si>
  <si>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</si>
  <si>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</si>
  <si>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</si>
  <si>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</si>
  <si>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</si>
  <si>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</si>
  <si>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</si>
  <si>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</si>
  <si>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</si>
  <si>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</si>
  <si>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</si>
  <si>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</si>
  <si>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</si>
  <si>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</si>
  <si>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</si>
  <si>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</si>
  <si>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</si>
  <si>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</si>
  <si>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</si>
  <si>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</si>
  <si>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</si>
  <si>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</si>
  <si>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</si>
  <si>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</si>
  <si>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</si>
  <si>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</si>
  <si>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</si>
  <si>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</si>
  <si>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</si>
  <si>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</si>
  <si>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</si>
  <si>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</si>
  <si>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</si>
  <si>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</si>
  <si>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</si>
  <si>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</si>
  <si>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</si>
  <si>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</si>
  <si>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</si>
  <si>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</si>
  <si>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</si>
  <si>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</si>
  <si>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</si>
  <si>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</si>
  <si>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</si>
  <si>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</si>
  <si>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</si>
  <si>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</si>
  <si>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</si>
  <si>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</si>
  <si>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</si>
  <si>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</si>
  <si>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</si>
  <si>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</si>
  <si>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</si>
  <si>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</si>
  <si>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</si>
  <si>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</si>
  <si>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</si>
  <si>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</si>
  <si>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</si>
  <si>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</si>
  <si>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</si>
  <si>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</si>
  <si>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</si>
  <si>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</si>
  <si>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</si>
  <si>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</si>
  <si>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</si>
  <si>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</si>
  <si>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</si>
  <si>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</si>
  <si>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</si>
  <si>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</si>
  <si>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</si>
  <si>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</si>
  <si>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</si>
  <si>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</si>
  <si>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</si>
  <si>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</si>
  <si>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</si>
  <si>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</si>
  <si>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</si>
  <si>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</si>
  <si>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</si>
  <si>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</si>
  <si>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</si>
  <si>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</si>
  <si>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</si>
  <si>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</si>
  <si>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</si>
  <si>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</si>
  <si>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</si>
  <si>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</si>
  <si>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</si>
  <si>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</si>
  <si>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</si>
  <si>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</si>
  <si>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</si>
  <si>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</si>
  <si>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</si>
  <si>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</si>
  <si>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</si>
  <si>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</si>
  <si>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</si>
  <si>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</si>
  <si>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</si>
  <si>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</si>
  <si>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</si>
  <si>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</si>
  <si>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</si>
  <si>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</si>
  <si>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</si>
  <si>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</si>
  <si>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</si>
  <si>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</si>
  <si>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</si>
  <si>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</si>
  <si>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</si>
  <si>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</si>
  <si>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</si>
  <si>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</si>
  <si>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</si>
  <si>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</si>
  <si>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</si>
  <si>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</si>
  <si>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</si>
  <si>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</si>
  <si>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</si>
  <si>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</si>
  <si>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</si>
  <si>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</si>
  <si>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</si>
  <si>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</si>
  <si>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</si>
  <si>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</si>
  <si>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</si>
  <si>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</si>
  <si>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</si>
  <si>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</si>
  <si>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</si>
  <si>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</si>
  <si>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</si>
  <si>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</si>
  <si>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</si>
  <si>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</si>
  <si>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</si>
  <si>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</si>
  <si>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</si>
  <si>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</si>
  <si>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</si>
  <si>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</si>
  <si>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</si>
  <si>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</si>
  <si>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</si>
  <si>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</si>
  <si>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</si>
  <si>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</si>
  <si>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Ст.34;Пункт 9 Ст.53;Пункт 2</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</si>
  <si>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</si>
  <si>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</si>
  <si>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</si>
  <si>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</si>
  <si>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</si>
  <si>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</si>
  <si>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</si>
  <si>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</si>
  <si>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</si>
  <si>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</si>
  <si>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</si>
  <si>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</si>
  <si>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</si>
  <si>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</si>
  <si>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</si>
  <si>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</si>
  <si>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</si>
  <si>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</si>
  <si>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</si>
  <si>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</si>
  <si>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</si>
  <si>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</si>
  <si>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</si>
  <si>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</si>
  <si>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</si>
  <si>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</si>
  <si>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</si>
  <si>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</si>
  <si>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</si>
  <si>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</si>
  <si>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</si>
  <si>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</si>
  <si>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</si>
  <si>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</si>
  <si>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</si>
  <si>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</si>
  <si>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 xml:space="preserve"> 0909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</si>
  <si>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</si>
  <si>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</si>
  <si>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</si>
  <si>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</si>
  <si>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</si>
  <si>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</si>
  <si>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</si>
  <si>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</si>
  <si>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</si>
  <si>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</si>
  <si>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</si>
  <si>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</si>
  <si>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</si>
  <si>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</si>
  <si>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</si>
  <si>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</si>
  <si>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</si>
  <si>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</si>
  <si>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</si>
  <si>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</si>
  <si>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</si>
  <si>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</si>
  <si>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</si>
  <si>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</si>
  <si>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</si>
  <si>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</si>
  <si>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</si>
  <si>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</si>
  <si>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</si>
  <si>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</si>
  <si>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</si>
  <si>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</si>
  <si>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</si>
  <si>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</si>
  <si>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Отчетный период 2020 год</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</si>
  <si>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</si>
  <si>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</si>
  <si>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</si>
  <si>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</si>
  <si>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</si>
  <si>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</si>
  <si>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</si>
  <si>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</si>
  <si>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25.01.2021г. №04720000-1-2021-002</t>
  </si>
  <si>
    <t>Соглашение о предоставлении иного межбюджетного трансферта, имеющего целевое назначение, предоставляемого в 2021 году из краевого бюджета бюджету городского округа города Канск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от 20.01.2021 №04720000-1-2021-003</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</si>
  <si>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20.01.2021 № 04720000-1-2021-001 </t>
  </si>
  <si>
    <t>Соглашение о предоставлении субсидии из бюджета субъекта РФ местному бюджету от 22.01.2021 №04720000-1-2019-011</t>
  </si>
  <si>
    <t>Соглашение о предоставлении субсидии из бюджета субъекта РФ местному бюджету от 22.01.2021 № 04720000-1-2021-007</t>
  </si>
  <si>
    <t>Закон Красноярского края от 26.03.2020 №9-3762 "О наделении органов местного самоуправления муниципальных районов, муниципальных округов и городских округов Красноярского края отдельными государственными полномочиями РФ по подготовке и проведению Всероссийской переписи населения 2020 года"</t>
  </si>
  <si>
    <t>08.04.2020 - не установ</t>
  </si>
  <si>
    <t>Постановление администрации города Канска от 11.02.2021 № 79 "Об утверждении Порядка расходования субвенции на проведение Всероссийской переписи населения"</t>
  </si>
  <si>
    <t>17.02.2021 -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</si>
  <si>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</si>
  <si>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</si>
  <si>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22.01.2021 - 31.12.2021</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</si>
  <si>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</si>
  <si>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</si>
  <si>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</si>
  <si>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</si>
  <si>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</si>
  <si>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t>
  </si>
  <si>
    <t>13.12.2017 -  не установ</t>
  </si>
  <si>
    <t>Соглашение о предоставлении субсидии бюджету города Канска из краевого бюджета от 15.03.2021 №1</t>
  </si>
  <si>
    <t>15.03.2021- 31.12.2021</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</si>
  <si>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</si>
  <si>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</si>
  <si>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</si>
  <si>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</si>
  <si>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</si>
  <si>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</si>
  <si>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Соглашение о предоставлении субсидии бюджету города Канска из краевого бюджета от 30.04.2020 №04720000</t>
  </si>
  <si>
    <t>30.04.2020 - 31.12.2020</t>
  </si>
  <si>
    <t>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20.01.2020 № 04720000-1-2020-005</t>
  </si>
  <si>
    <t>20.01.2020 - 31.12.2020</t>
  </si>
  <si>
    <t>25.01.2021- 31.12.2021</t>
  </si>
  <si>
    <t>2601, 2602</t>
  </si>
  <si>
    <t>2601.2602</t>
  </si>
  <si>
    <t>2522, 2523, 2525, 2526, 2527</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</si>
  <si>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</si>
  <si>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</si>
  <si>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</si>
  <si>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</si>
  <si>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</si>
  <si>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</si>
  <si>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</si>
  <si>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</si>
  <si>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</si>
  <si>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</si>
  <si>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 0412</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</si>
  <si>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</si>
  <si>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Расходные обязательства, возникшие в результате принятия нормативных правовых актов муниципального округа, городского округа, заключения договоров (соглашений) в рамках реализации органами местного самоуправления муниципального округа,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</si>
  <si>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Осуществление полномочий по проведению Всероссийской переписи населения 2020 года</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</si>
  <si>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</si>
  <si>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</si>
  <si>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</si>
  <si>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</si>
  <si>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Соглашение о предоставлении субсидии муниципальному образованию город Канск Красноярского края из краевого бюджета 26.01.2021 № 71-23-1С</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</si>
  <si>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25.03.2021 г. №66/с</t>
  </si>
  <si>
    <t>25.03.2021  - не установ</t>
  </si>
  <si>
    <t>ст.6 п 17.</t>
  </si>
  <si>
    <t>Организация ритульных услуг и содержание мест захоронения</t>
  </si>
  <si>
    <t>Постановление Правительства РФ от 09.08.2019 №1036 "Об утверждении федеральной целевой программы "Увековечение памяти погибших при защите Отечества на 2019-2024 годы"</t>
  </si>
  <si>
    <t>13.08.2019 - не установ.</t>
  </si>
  <si>
    <t>Закон Красноярского края от 31.12.2019 №813-п  "Об утверждении Порядка предоставления и распределения субсидий бюджетам муниципальных образований на обустройство и востановление воинских захоронений"</t>
  </si>
  <si>
    <t>24.01.2020 -не установ</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</si>
  <si>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</si>
  <si>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проект</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</si>
  <si>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</si>
  <si>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</si>
  <si>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</si>
  <si>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</si>
  <si>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</si>
  <si>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</si>
  <si>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</si>
  <si>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</si>
  <si>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Проект реестра расходных обязательств города Канска на плановый период 2022-2024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</si>
</sst>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name val="Times New Roman"/>
      <family val="1"/>
      <charset val="204"/>
    </font>
    <font>
      <i/>
      <sz val="11"/>
      <color theme="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368">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9"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9"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12" xfId="0" applyFont="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horizontal="center" vertical="top" wrapText="1"/>
    </xf>
    <xf numFmtId="0" fontId="1" fillId="0" borderId="4" xfId="0" applyFont="1" applyFill="1" applyBorder="1" applyAlignment="1">
      <alignment horizontal="left" vertical="top" wrapText="1"/>
    </xf>
    <xf numFmtId="4" fontId="3" fillId="0" borderId="2" xfId="0" applyNumberFormat="1" applyFont="1" applyBorder="1" applyAlignment="1">
      <alignment horizontal="left" vertical="top" wrapText="1"/>
    </xf>
    <xf numFmtId="49" fontId="1" fillId="0" borderId="9"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2" xfId="0" applyFont="1" applyBorder="1" applyAlignment="1">
      <alignment vertical="top"/>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3"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 fontId="1" fillId="0" borderId="11"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left" vertical="top" wrapText="1"/>
    </xf>
    <xf numFmtId="4" fontId="7" fillId="0" borderId="2" xfId="0" applyNumberFormat="1" applyFont="1" applyFill="1" applyBorder="1" applyAlignment="1">
      <alignment horizontal="center"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4" borderId="1" xfId="0" applyFont="1" applyFill="1" applyBorder="1" applyAlignment="1">
      <alignment horizontal="left"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8" fillId="0" borderId="1" xfId="0" applyFont="1" applyBorder="1" applyAlignment="1">
      <alignment horizontal="left" vertical="top" wrapText="1"/>
    </xf>
    <xf numFmtId="14" fontId="1" fillId="4" borderId="1" xfId="0" applyNumberFormat="1" applyFont="1" applyFill="1" applyBorder="1" applyAlignment="1">
      <alignment horizontal="left" vertical="top" wrapText="1"/>
    </xf>
    <xf numFmtId="14" fontId="8" fillId="0" borderId="5" xfId="0" applyNumberFormat="1" applyFont="1" applyBorder="1" applyAlignment="1">
      <alignment horizontal="left" vertical="top" wrapText="1"/>
    </xf>
    <xf numFmtId="0" fontId="12"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2" fillId="0" borderId="1" xfId="0" applyFont="1" applyBorder="1" applyAlignment="1">
      <alignment horizontal="left" vertical="top" wrapText="1"/>
    </xf>
    <xf numFmtId="0" fontId="13" fillId="0" borderId="7" xfId="0" applyFont="1" applyBorder="1" applyAlignment="1">
      <alignment horizontal="left" vertical="top" wrapText="1"/>
    </xf>
    <xf numFmtId="0" fontId="13" fillId="0" borderId="1" xfId="0" applyFont="1" applyBorder="1" applyAlignment="1">
      <alignment vertical="top" wrapText="1"/>
    </xf>
    <xf numFmtId="0" fontId="13" fillId="0" borderId="1" xfId="0" applyFont="1" applyFill="1" applyBorder="1" applyAlignment="1">
      <alignment horizontal="left" vertical="top" wrapText="1"/>
    </xf>
    <xf numFmtId="0" fontId="1" fillId="0" borderId="11" xfId="0" applyFont="1" applyBorder="1" applyAlignment="1">
      <alignment horizontal="left" vertical="top" wrapText="1"/>
    </xf>
    <xf numFmtId="4" fontId="1" fillId="0" borderId="4" xfId="0" applyNumberFormat="1" applyFont="1" applyBorder="1" applyAlignment="1">
      <alignment horizontal="center" vertical="top" wrapText="1"/>
    </xf>
    <xf numFmtId="14" fontId="7" fillId="0" borderId="1" xfId="0" applyNumberFormat="1" applyFont="1" applyBorder="1" applyAlignment="1">
      <alignment horizontal="left" vertical="top" wrapText="1"/>
    </xf>
    <xf numFmtId="0" fontId="7" fillId="0" borderId="5" xfId="0" applyFont="1" applyBorder="1" applyAlignment="1">
      <alignment horizontal="left" vertical="top" wrapText="1"/>
    </xf>
    <xf numFmtId="0" fontId="1" fillId="0" borderId="2"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7" fillId="4" borderId="1" xfId="0" applyFont="1" applyFill="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4" fontId="1" fillId="0" borderId="2" xfId="0" applyNumberFormat="1" applyFont="1" applyBorder="1" applyAlignment="1">
      <alignment horizontal="right" vertical="top" wrapText="1"/>
    </xf>
    <xf numFmtId="4" fontId="1" fillId="0" borderId="1" xfId="0" applyNumberFormat="1" applyFont="1" applyBorder="1" applyAlignment="1">
      <alignment horizontal="center" vertical="top" wrapText="1"/>
    </xf>
    <xf numFmtId="4" fontId="3" fillId="0" borderId="4" xfId="0" applyNumberFormat="1" applyFont="1" applyBorder="1" applyAlignment="1">
      <alignment horizontal="center" vertical="top" wrapText="1"/>
    </xf>
    <xf numFmtId="0" fontId="1" fillId="0" borderId="15" xfId="0" applyFont="1" applyBorder="1" applyAlignment="1">
      <alignment horizontal="center"/>
    </xf>
    <xf numFmtId="4" fontId="1" fillId="0" borderId="19" xfId="0" applyNumberFormat="1" applyFont="1" applyBorder="1" applyAlignment="1">
      <alignment horizontal="right"/>
    </xf>
    <xf numFmtId="4" fontId="1" fillId="0" borderId="1" xfId="0" applyNumberFormat="1" applyFont="1" applyBorder="1" applyAlignment="1">
      <alignment horizontal="right"/>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 fontId="1" fillId="0" borderId="2" xfId="0" applyNumberFormat="1" applyFont="1" applyBorder="1" applyAlignment="1">
      <alignment horizontal="left" vertical="top" wrapText="1"/>
    </xf>
    <xf numFmtId="4" fontId="9" fillId="0" borderId="0" xfId="0" applyNumberFormat="1" applyFont="1"/>
    <xf numFmtId="4" fontId="1" fillId="0" borderId="2"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14"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7" fillId="0" borderId="2" xfId="0" applyNumberFormat="1" applyFont="1" applyBorder="1" applyAlignment="1">
      <alignment horizontal="center" vertical="top" wrapText="1"/>
    </xf>
    <xf numFmtId="4" fontId="7" fillId="0" borderId="3" xfId="0" applyNumberFormat="1" applyFont="1" applyBorder="1" applyAlignment="1">
      <alignment horizontal="center" vertical="top" wrapText="1"/>
    </xf>
    <xf numFmtId="4" fontId="7" fillId="0" borderId="2" xfId="0" applyNumberFormat="1" applyFont="1" applyBorder="1" applyAlignment="1">
      <alignment horizontal="left" vertical="top" wrapText="1"/>
    </xf>
    <xf numFmtId="4" fontId="7" fillId="0" borderId="3" xfId="0" applyNumberFormat="1"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0" xfId="0" applyFont="1" applyAlignment="1">
      <alignment horizontal="left"/>
    </xf>
    <xf numFmtId="0" fontId="1" fillId="0" borderId="4" xfId="0"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49" fontId="1" fillId="0" borderId="11"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 xfId="0" applyFont="1" applyBorder="1" applyAlignment="1">
      <alignment horizontal="left" vertical="top" wrapText="1"/>
    </xf>
    <xf numFmtId="0" fontId="0" fillId="0" borderId="3" xfId="0"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14" xfId="0" applyFont="1" applyBorder="1" applyAlignment="1">
      <alignment horizontal="left"/>
    </xf>
    <xf numFmtId="0" fontId="0" fillId="0" borderId="3" xfId="0" applyBorder="1" applyAlignment="1">
      <alignment horizontal="left" vertical="top" wrapText="1"/>
    </xf>
    <xf numFmtId="4" fontId="1" fillId="0" borderId="9" xfId="0" applyNumberFormat="1" applyFont="1" applyBorder="1" applyAlignment="1">
      <alignment horizontal="left" vertical="top" wrapText="1"/>
    </xf>
    <xf numFmtId="4" fontId="1" fillId="0" borderId="11" xfId="0" applyNumberFormat="1" applyFont="1" applyBorder="1" applyAlignment="1">
      <alignment horizontal="left"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Fill="1" applyBorder="1" applyAlignment="1">
      <alignment horizontal="center"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29"/>
  <sheetViews>
    <sheetView tabSelected="1" zoomScaleNormal="100" workbookViewId="0">
      <selection activeCell="C2" sqref="C2:P2"/>
    </sheetView>
  </sheetViews>
  <sheetFormatPr defaultRowHeight="15" x14ac:dyDescent="0.25"/>
  <cols>
    <col min="1" max="1" width="10.140625" style="25" customWidth="1"/>
    <col min="2" max="2" width="47.285156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59"/>
      <c r="B1" s="147"/>
    </row>
    <row r="2" spans="1:19" ht="18.75" x14ac:dyDescent="0.3">
      <c r="C2" s="339" t="s">
        <v>571</v>
      </c>
      <c r="D2" s="339"/>
      <c r="E2" s="339"/>
      <c r="F2" s="339"/>
      <c r="G2" s="339"/>
      <c r="H2" s="339"/>
      <c r="I2" s="339"/>
      <c r="J2" s="339"/>
      <c r="K2" s="339"/>
      <c r="L2" s="339"/>
      <c r="M2" s="339"/>
      <c r="N2" s="339"/>
      <c r="O2" s="339"/>
      <c r="P2" s="339"/>
    </row>
    <row r="3" spans="1:19" x14ac:dyDescent="0.25">
      <c r="A3" s="312" t="s">
        <v>490</v>
      </c>
      <c r="B3" s="312"/>
      <c r="I3" s="23"/>
    </row>
    <row r="4" spans="1:19" x14ac:dyDescent="0.25">
      <c r="A4" s="345" t="s">
        <v>562</v>
      </c>
      <c r="B4" s="345"/>
      <c r="C4" s="1" t="s">
        <v>406</v>
      </c>
      <c r="S4" s="38" t="s">
        <v>17</v>
      </c>
    </row>
    <row r="5" spans="1:19" x14ac:dyDescent="0.25">
      <c r="A5" s="349" t="s">
        <v>0</v>
      </c>
      <c r="B5" s="340" t="s">
        <v>1</v>
      </c>
      <c r="C5" s="341" t="s">
        <v>2</v>
      </c>
      <c r="D5" s="341"/>
      <c r="E5" s="341" t="s">
        <v>5</v>
      </c>
      <c r="F5" s="341"/>
      <c r="G5" s="341"/>
      <c r="H5" s="341" t="s">
        <v>9</v>
      </c>
      <c r="I5" s="344"/>
      <c r="J5" s="344"/>
      <c r="K5" s="341" t="s">
        <v>10</v>
      </c>
      <c r="L5" s="344"/>
      <c r="M5" s="344"/>
      <c r="N5" s="343" t="s">
        <v>16</v>
      </c>
      <c r="O5" s="343"/>
      <c r="P5" s="343"/>
      <c r="Q5" s="343"/>
      <c r="R5" s="343"/>
      <c r="S5" s="343"/>
    </row>
    <row r="6" spans="1:19" ht="45" x14ac:dyDescent="0.25">
      <c r="A6" s="350"/>
      <c r="B6" s="340"/>
      <c r="C6" s="352" t="s">
        <v>3</v>
      </c>
      <c r="D6" s="352" t="s">
        <v>4</v>
      </c>
      <c r="E6" s="340" t="s">
        <v>6</v>
      </c>
      <c r="F6" s="340" t="s">
        <v>7</v>
      </c>
      <c r="G6" s="340" t="s">
        <v>8</v>
      </c>
      <c r="H6" s="340" t="s">
        <v>6</v>
      </c>
      <c r="I6" s="340" t="s">
        <v>7</v>
      </c>
      <c r="J6" s="340" t="s">
        <v>8</v>
      </c>
      <c r="K6" s="340" t="s">
        <v>6</v>
      </c>
      <c r="L6" s="340" t="s">
        <v>7</v>
      </c>
      <c r="M6" s="340" t="s">
        <v>8</v>
      </c>
      <c r="N6" s="340" t="s">
        <v>13</v>
      </c>
      <c r="O6" s="340"/>
      <c r="P6" s="2" t="s">
        <v>14</v>
      </c>
      <c r="Q6" s="340" t="s">
        <v>15</v>
      </c>
      <c r="R6" s="342"/>
      <c r="S6" s="342"/>
    </row>
    <row r="7" spans="1:19" x14ac:dyDescent="0.25">
      <c r="A7" s="351"/>
      <c r="B7" s="340"/>
      <c r="C7" s="352"/>
      <c r="D7" s="352"/>
      <c r="E7" s="340"/>
      <c r="F7" s="340"/>
      <c r="G7" s="340"/>
      <c r="H7" s="340"/>
      <c r="I7" s="340"/>
      <c r="J7" s="340"/>
      <c r="K7" s="340"/>
      <c r="L7" s="340"/>
      <c r="M7" s="340"/>
      <c r="N7" s="5" t="s">
        <v>11</v>
      </c>
      <c r="O7" s="5" t="s">
        <v>12</v>
      </c>
      <c r="P7" s="5" t="s">
        <v>11</v>
      </c>
      <c r="Q7" s="5" t="s">
        <v>11</v>
      </c>
      <c r="R7" s="5" t="s">
        <v>11</v>
      </c>
      <c r="S7" s="5" t="s">
        <v>11</v>
      </c>
    </row>
    <row r="8" spans="1:19" x14ac:dyDescent="0.25">
      <c r="A8" s="77">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37"/>
      <c r="B9" s="37" t="s">
        <v>18</v>
      </c>
      <c r="C9" s="37">
        <v>901</v>
      </c>
      <c r="D9" s="37"/>
      <c r="E9" s="37"/>
      <c r="F9" s="37"/>
      <c r="G9" s="37"/>
      <c r="H9" s="37"/>
      <c r="I9" s="37"/>
      <c r="J9" s="37"/>
      <c r="K9" s="37"/>
      <c r="L9" s="37"/>
      <c r="M9" s="37"/>
      <c r="N9" s="48">
        <f t="shared" ref="N9:S9" si="0">N10+N25+N37+N33</f>
        <v>100486960.21000001</v>
      </c>
      <c r="O9" s="48">
        <f t="shared" si="0"/>
        <v>99052335.560000002</v>
      </c>
      <c r="P9" s="48">
        <f t="shared" si="0"/>
        <v>75100329</v>
      </c>
      <c r="Q9" s="48">
        <f t="shared" si="0"/>
        <v>69970345</v>
      </c>
      <c r="R9" s="48">
        <f t="shared" si="0"/>
        <v>69228845</v>
      </c>
      <c r="S9" s="48">
        <f t="shared" si="0"/>
        <v>69228845</v>
      </c>
    </row>
    <row r="10" spans="1:19" s="114" customFormat="1" ht="57" x14ac:dyDescent="0.2">
      <c r="A10" s="111">
        <v>2500</v>
      </c>
      <c r="B10" s="115" t="s">
        <v>541</v>
      </c>
      <c r="C10" s="111"/>
      <c r="D10" s="111"/>
      <c r="E10" s="111"/>
      <c r="F10" s="111"/>
      <c r="G10" s="111"/>
      <c r="H10" s="112"/>
      <c r="I10" s="112"/>
      <c r="J10" s="112"/>
      <c r="K10" s="112"/>
      <c r="L10" s="112"/>
      <c r="M10" s="112"/>
      <c r="N10" s="113">
        <f t="shared" ref="N10:S10" si="1">N11+N14+N17+N19+N22</f>
        <v>30651010.43</v>
      </c>
      <c r="O10" s="113">
        <f t="shared" si="1"/>
        <v>29838118.599999998</v>
      </c>
      <c r="P10" s="113">
        <f t="shared" si="1"/>
        <v>11641935</v>
      </c>
      <c r="Q10" s="113">
        <f t="shared" si="1"/>
        <v>7843855</v>
      </c>
      <c r="R10" s="113">
        <f t="shared" si="1"/>
        <v>7843855</v>
      </c>
      <c r="S10" s="113">
        <f t="shared" si="1"/>
        <v>7843855</v>
      </c>
    </row>
    <row r="11" spans="1:19" ht="45" x14ac:dyDescent="0.25">
      <c r="A11" s="294">
        <v>2508</v>
      </c>
      <c r="B11" s="296" t="s">
        <v>45</v>
      </c>
      <c r="C11" s="294">
        <v>901</v>
      </c>
      <c r="D11" s="298" t="s">
        <v>47</v>
      </c>
      <c r="E11" s="296" t="s">
        <v>20</v>
      </c>
      <c r="F11" s="296" t="s">
        <v>358</v>
      </c>
      <c r="G11" s="296" t="s">
        <v>21</v>
      </c>
      <c r="H11" s="10"/>
      <c r="I11" s="10"/>
      <c r="J11" s="10"/>
      <c r="K11" s="10" t="s">
        <v>29</v>
      </c>
      <c r="L11" s="10" t="s">
        <v>46</v>
      </c>
      <c r="M11" s="10" t="s">
        <v>30</v>
      </c>
      <c r="N11" s="292">
        <f>6749164.8+2594570.22</f>
        <v>9343735.0199999996</v>
      </c>
      <c r="O11" s="292">
        <f>2594570.22+6749164.8</f>
        <v>9343735.0199999996</v>
      </c>
      <c r="P11" s="292">
        <f>2220000+2446580</f>
        <v>4666580</v>
      </c>
      <c r="Q11" s="321">
        <f>875000</f>
        <v>875000</v>
      </c>
      <c r="R11" s="292">
        <v>875000</v>
      </c>
      <c r="S11" s="292">
        <v>875000</v>
      </c>
    </row>
    <row r="12" spans="1:19" ht="180" x14ac:dyDescent="0.25">
      <c r="A12" s="305"/>
      <c r="B12" s="313"/>
      <c r="C12" s="295"/>
      <c r="D12" s="299"/>
      <c r="E12" s="297"/>
      <c r="F12" s="297"/>
      <c r="G12" s="297"/>
      <c r="H12" s="10"/>
      <c r="I12" s="10"/>
      <c r="J12" s="10"/>
      <c r="K12" s="223" t="s">
        <v>439</v>
      </c>
      <c r="L12" s="73"/>
      <c r="M12" s="73" t="s">
        <v>440</v>
      </c>
      <c r="N12" s="300"/>
      <c r="O12" s="300"/>
      <c r="P12" s="300"/>
      <c r="Q12" s="322"/>
      <c r="R12" s="300"/>
      <c r="S12" s="300"/>
    </row>
    <row r="13" spans="1:19" ht="120" x14ac:dyDescent="0.25">
      <c r="A13" s="295"/>
      <c r="B13" s="297"/>
      <c r="C13" s="212"/>
      <c r="D13" s="213"/>
      <c r="E13" s="215"/>
      <c r="F13" s="215"/>
      <c r="G13" s="215"/>
      <c r="H13" s="10"/>
      <c r="I13" s="10"/>
      <c r="J13" s="10"/>
      <c r="K13" s="73" t="s">
        <v>499</v>
      </c>
      <c r="L13" s="73"/>
      <c r="M13" s="229" t="s">
        <v>530</v>
      </c>
      <c r="N13" s="293"/>
      <c r="O13" s="293"/>
      <c r="P13" s="293"/>
      <c r="Q13" s="323"/>
      <c r="R13" s="293"/>
      <c r="S13" s="293"/>
    </row>
    <row r="14" spans="1:19" ht="45" x14ac:dyDescent="0.25">
      <c r="A14" s="294">
        <v>2537</v>
      </c>
      <c r="B14" s="296" t="s">
        <v>48</v>
      </c>
      <c r="C14" s="294">
        <v>901</v>
      </c>
      <c r="D14" s="298" t="s">
        <v>34</v>
      </c>
      <c r="E14" s="296" t="s">
        <v>20</v>
      </c>
      <c r="F14" s="294" t="s">
        <v>49</v>
      </c>
      <c r="G14" s="294" t="s">
        <v>21</v>
      </c>
      <c r="H14" s="10"/>
      <c r="I14" s="10"/>
      <c r="J14" s="10"/>
      <c r="K14" s="10" t="s">
        <v>29</v>
      </c>
      <c r="L14" s="10" t="s">
        <v>46</v>
      </c>
      <c r="M14" s="10" t="s">
        <v>30</v>
      </c>
      <c r="N14" s="307">
        <f>6738384+3683470</f>
        <v>10421854</v>
      </c>
      <c r="O14" s="307">
        <f>3683470+5925492.17</f>
        <v>9608962.1699999999</v>
      </c>
      <c r="P14" s="53">
        <f>4170155-292200</f>
        <v>3877955</v>
      </c>
      <c r="Q14" s="53">
        <f>4163655-292200</f>
        <v>3871455</v>
      </c>
      <c r="R14" s="307">
        <v>3871455</v>
      </c>
      <c r="S14" s="307">
        <v>3871455</v>
      </c>
    </row>
    <row r="15" spans="1:19" ht="165" x14ac:dyDescent="0.25">
      <c r="A15" s="305"/>
      <c r="B15" s="313"/>
      <c r="C15" s="305"/>
      <c r="D15" s="306"/>
      <c r="E15" s="297"/>
      <c r="F15" s="295"/>
      <c r="G15" s="295"/>
      <c r="H15" s="10"/>
      <c r="I15" s="10"/>
      <c r="J15" s="10"/>
      <c r="K15" s="10" t="s">
        <v>50</v>
      </c>
      <c r="L15" s="10"/>
      <c r="M15" s="10" t="s">
        <v>51</v>
      </c>
      <c r="N15" s="309"/>
      <c r="O15" s="309"/>
      <c r="P15" s="129"/>
      <c r="Q15" s="129"/>
      <c r="R15" s="309"/>
      <c r="S15" s="309"/>
    </row>
    <row r="16" spans="1:19" ht="150" x14ac:dyDescent="0.25">
      <c r="A16" s="295"/>
      <c r="B16" s="297"/>
      <c r="C16" s="295"/>
      <c r="D16" s="299"/>
      <c r="E16" s="168"/>
      <c r="F16" s="169"/>
      <c r="G16" s="169"/>
      <c r="H16" s="10"/>
      <c r="I16" s="10"/>
      <c r="J16" s="10"/>
      <c r="K16" s="220" t="s">
        <v>469</v>
      </c>
      <c r="L16" s="10"/>
      <c r="M16" s="74" t="s">
        <v>470</v>
      </c>
      <c r="N16" s="170"/>
      <c r="O16" s="170"/>
      <c r="P16" s="170"/>
      <c r="Q16" s="170"/>
      <c r="R16" s="170"/>
      <c r="S16" s="167"/>
    </row>
    <row r="17" spans="1:19" ht="90" x14ac:dyDescent="0.25">
      <c r="A17" s="337">
        <v>2553</v>
      </c>
      <c r="B17" s="296" t="s">
        <v>545</v>
      </c>
      <c r="C17" s="294">
        <v>901</v>
      </c>
      <c r="D17" s="298" t="s">
        <v>544</v>
      </c>
      <c r="E17" s="10" t="s">
        <v>20</v>
      </c>
      <c r="F17" s="10" t="s">
        <v>54</v>
      </c>
      <c r="G17" s="10" t="s">
        <v>21</v>
      </c>
      <c r="H17" s="10"/>
      <c r="I17" s="10"/>
      <c r="J17" s="10"/>
      <c r="K17" s="10" t="s">
        <v>29</v>
      </c>
      <c r="L17" s="10"/>
      <c r="M17" s="74" t="s">
        <v>30</v>
      </c>
      <c r="N17" s="347">
        <f>10065042</f>
        <v>10065042</v>
      </c>
      <c r="O17" s="347">
        <f>10065042</f>
        <v>10065042</v>
      </c>
      <c r="P17" s="347">
        <v>2997400</v>
      </c>
      <c r="Q17" s="347">
        <v>2997400</v>
      </c>
      <c r="R17" s="347">
        <v>2997400</v>
      </c>
      <c r="S17" s="307">
        <v>2997400</v>
      </c>
    </row>
    <row r="18" spans="1:19" ht="135" x14ac:dyDescent="0.25">
      <c r="A18" s="338"/>
      <c r="B18" s="297"/>
      <c r="C18" s="295"/>
      <c r="D18" s="299"/>
      <c r="E18" s="10" t="s">
        <v>52</v>
      </c>
      <c r="F18" s="10" t="s">
        <v>348</v>
      </c>
      <c r="G18" s="10" t="s">
        <v>28</v>
      </c>
      <c r="H18" s="10"/>
      <c r="I18" s="10"/>
      <c r="J18" s="10"/>
      <c r="K18" s="220" t="s">
        <v>441</v>
      </c>
      <c r="L18" s="10"/>
      <c r="M18" s="10" t="s">
        <v>442</v>
      </c>
      <c r="N18" s="348"/>
      <c r="O18" s="348"/>
      <c r="P18" s="348"/>
      <c r="Q18" s="348"/>
      <c r="R18" s="348"/>
      <c r="S18" s="309"/>
    </row>
    <row r="19" spans="1:19" ht="150" x14ac:dyDescent="0.25">
      <c r="A19" s="337">
        <v>2554</v>
      </c>
      <c r="B19" s="294" t="s">
        <v>543</v>
      </c>
      <c r="C19" s="294">
        <v>901</v>
      </c>
      <c r="D19" s="298" t="s">
        <v>34</v>
      </c>
      <c r="E19" s="10" t="s">
        <v>20</v>
      </c>
      <c r="F19" s="10" t="s">
        <v>54</v>
      </c>
      <c r="G19" s="10" t="s">
        <v>21</v>
      </c>
      <c r="H19" s="10"/>
      <c r="I19" s="10"/>
      <c r="J19" s="10"/>
      <c r="K19" s="220" t="s">
        <v>404</v>
      </c>
      <c r="L19" s="10"/>
      <c r="M19" s="74" t="s">
        <v>405</v>
      </c>
      <c r="N19" s="292">
        <v>820379.41</v>
      </c>
      <c r="O19" s="292">
        <v>820379.41</v>
      </c>
      <c r="P19" s="292"/>
      <c r="Q19" s="292"/>
      <c r="R19" s="292"/>
      <c r="S19" s="292"/>
    </row>
    <row r="20" spans="1:19" ht="165" x14ac:dyDescent="0.25">
      <c r="A20" s="353"/>
      <c r="B20" s="305"/>
      <c r="C20" s="305"/>
      <c r="D20" s="306"/>
      <c r="E20" s="10"/>
      <c r="F20" s="10"/>
      <c r="G20" s="10"/>
      <c r="H20" s="10"/>
      <c r="I20" s="10"/>
      <c r="J20" s="10"/>
      <c r="K20" s="10" t="s">
        <v>56</v>
      </c>
      <c r="L20" s="10"/>
      <c r="M20" s="74" t="s">
        <v>57</v>
      </c>
      <c r="N20" s="300"/>
      <c r="O20" s="300"/>
      <c r="P20" s="300"/>
      <c r="Q20" s="300"/>
      <c r="R20" s="300"/>
      <c r="S20" s="300"/>
    </row>
    <row r="21" spans="1:19" ht="150" x14ac:dyDescent="0.25">
      <c r="A21" s="338"/>
      <c r="B21" s="295"/>
      <c r="C21" s="295"/>
      <c r="D21" s="299"/>
      <c r="E21" s="10"/>
      <c r="F21" s="10"/>
      <c r="G21" s="10"/>
      <c r="H21" s="10"/>
      <c r="I21" s="10"/>
      <c r="J21" s="10"/>
      <c r="K21" s="10" t="s">
        <v>422</v>
      </c>
      <c r="L21" s="10"/>
      <c r="M21" s="74" t="s">
        <v>423</v>
      </c>
      <c r="N21" s="293"/>
      <c r="O21" s="293"/>
      <c r="P21" s="293"/>
      <c r="Q21" s="293"/>
      <c r="R21" s="293"/>
      <c r="S21" s="293"/>
    </row>
    <row r="22" spans="1:19" ht="45" x14ac:dyDescent="0.25">
      <c r="A22" s="337">
        <v>2557</v>
      </c>
      <c r="B22" s="296" t="s">
        <v>444</v>
      </c>
      <c r="C22" s="294">
        <v>901</v>
      </c>
      <c r="D22" s="298" t="s">
        <v>34</v>
      </c>
      <c r="E22" s="296" t="s">
        <v>20</v>
      </c>
      <c r="F22" s="296" t="s">
        <v>445</v>
      </c>
      <c r="G22" s="296" t="s">
        <v>21</v>
      </c>
      <c r="H22" s="10"/>
      <c r="I22" s="10"/>
      <c r="J22" s="10"/>
      <c r="K22" s="10" t="s">
        <v>29</v>
      </c>
      <c r="L22" s="10"/>
      <c r="M22" s="74" t="s">
        <v>30</v>
      </c>
      <c r="N22" s="292"/>
      <c r="O22" s="292"/>
      <c r="P22" s="292">
        <v>100000</v>
      </c>
      <c r="Q22" s="292">
        <v>100000</v>
      </c>
      <c r="R22" s="292">
        <v>100000</v>
      </c>
      <c r="S22" s="292">
        <v>100000</v>
      </c>
    </row>
    <row r="23" spans="1:19" ht="120" x14ac:dyDescent="0.25">
      <c r="A23" s="353"/>
      <c r="B23" s="313"/>
      <c r="C23" s="305"/>
      <c r="D23" s="306"/>
      <c r="E23" s="313"/>
      <c r="F23" s="313"/>
      <c r="G23" s="313"/>
      <c r="H23" s="10"/>
      <c r="I23" s="10"/>
      <c r="J23" s="10"/>
      <c r="K23" s="10" t="s">
        <v>522</v>
      </c>
      <c r="L23" s="10"/>
      <c r="M23" s="74" t="s">
        <v>523</v>
      </c>
      <c r="N23" s="300"/>
      <c r="O23" s="300"/>
      <c r="P23" s="300"/>
      <c r="Q23" s="300"/>
      <c r="R23" s="300"/>
      <c r="S23" s="300"/>
    </row>
    <row r="24" spans="1:19" ht="150" x14ac:dyDescent="0.25">
      <c r="A24" s="338"/>
      <c r="B24" s="297"/>
      <c r="C24" s="295"/>
      <c r="D24" s="299"/>
      <c r="E24" s="297"/>
      <c r="F24" s="297"/>
      <c r="G24" s="297"/>
      <c r="H24" s="10"/>
      <c r="I24" s="10"/>
      <c r="J24" s="10"/>
      <c r="K24" s="10" t="s">
        <v>31</v>
      </c>
      <c r="L24" s="10"/>
      <c r="M24" s="10" t="s">
        <v>32</v>
      </c>
      <c r="N24" s="293"/>
      <c r="O24" s="293"/>
      <c r="P24" s="293"/>
      <c r="Q24" s="293"/>
      <c r="R24" s="293"/>
      <c r="S24" s="293"/>
    </row>
    <row r="25" spans="1:19" s="23" customFormat="1" ht="114" x14ac:dyDescent="0.2">
      <c r="A25" s="84">
        <v>2600</v>
      </c>
      <c r="B25" s="261" t="s">
        <v>542</v>
      </c>
      <c r="C25" s="8"/>
      <c r="D25" s="8"/>
      <c r="E25" s="8"/>
      <c r="F25" s="8"/>
      <c r="G25" s="8"/>
      <c r="H25" s="8"/>
      <c r="I25" s="8"/>
      <c r="J25" s="8"/>
      <c r="K25" s="8"/>
      <c r="L25" s="8"/>
      <c r="M25" s="8"/>
      <c r="N25" s="49">
        <f t="shared" ref="N25:S25" si="2">N26+N28+N30+N32</f>
        <v>64072759.780000001</v>
      </c>
      <c r="O25" s="49">
        <f t="shared" si="2"/>
        <v>63827026.960000001</v>
      </c>
      <c r="P25" s="49">
        <f t="shared" si="2"/>
        <v>54953994</v>
      </c>
      <c r="Q25" s="49">
        <f t="shared" si="2"/>
        <v>54120390</v>
      </c>
      <c r="R25" s="49">
        <f t="shared" si="2"/>
        <v>53396790</v>
      </c>
      <c r="S25" s="49">
        <f t="shared" si="2"/>
        <v>53396790</v>
      </c>
    </row>
    <row r="26" spans="1:19" ht="105" x14ac:dyDescent="0.25">
      <c r="A26" s="314" t="s">
        <v>531</v>
      </c>
      <c r="B26" s="296" t="s">
        <v>382</v>
      </c>
      <c r="C26" s="316">
        <v>901</v>
      </c>
      <c r="D26" s="294" t="s">
        <v>19</v>
      </c>
      <c r="E26" s="194" t="s">
        <v>20</v>
      </c>
      <c r="F26" s="194" t="s">
        <v>353</v>
      </c>
      <c r="G26" s="195" t="s">
        <v>21</v>
      </c>
      <c r="H26" s="194" t="s">
        <v>24</v>
      </c>
      <c r="I26" s="198" t="s">
        <v>55</v>
      </c>
      <c r="J26" s="195" t="s">
        <v>26</v>
      </c>
      <c r="K26" s="10" t="s">
        <v>29</v>
      </c>
      <c r="L26" s="4"/>
      <c r="M26" s="10" t="s">
        <v>30</v>
      </c>
      <c r="N26" s="310">
        <f>2179662.32+41182073.03+5406171.53-222777.5</f>
        <v>48545129.380000003</v>
      </c>
      <c r="O26" s="310">
        <f>2179662.32+40936340.21+5406171.53-222777.5</f>
        <v>48299396.560000002</v>
      </c>
      <c r="P26" s="105">
        <f>2468362+45334771+1370044-598044</f>
        <v>48575133</v>
      </c>
      <c r="Q26" s="146">
        <f>2468362+45142734+220000</f>
        <v>47831096</v>
      </c>
      <c r="R26" s="310">
        <f>2468362+44419134+220000</f>
        <v>47107496</v>
      </c>
      <c r="S26" s="310">
        <v>47107496</v>
      </c>
    </row>
    <row r="27" spans="1:19" ht="285" x14ac:dyDescent="0.25">
      <c r="A27" s="315"/>
      <c r="B27" s="313"/>
      <c r="C27" s="317"/>
      <c r="D27" s="305"/>
      <c r="E27" s="9" t="s">
        <v>22</v>
      </c>
      <c r="F27" s="7" t="s">
        <v>55</v>
      </c>
      <c r="G27" s="9" t="s">
        <v>23</v>
      </c>
      <c r="H27" s="10" t="s">
        <v>27</v>
      </c>
      <c r="I27" s="11" t="s">
        <v>55</v>
      </c>
      <c r="J27" s="10" t="s">
        <v>28</v>
      </c>
      <c r="K27" s="10"/>
      <c r="L27" s="10"/>
      <c r="M27" s="18"/>
      <c r="N27" s="311"/>
      <c r="O27" s="311"/>
      <c r="P27" s="106"/>
      <c r="Q27" s="106"/>
      <c r="R27" s="311"/>
      <c r="S27" s="311"/>
    </row>
    <row r="28" spans="1:19" ht="30" x14ac:dyDescent="0.25">
      <c r="A28" s="294">
        <v>2608</v>
      </c>
      <c r="B28" s="296" t="s">
        <v>384</v>
      </c>
      <c r="C28" s="294">
        <v>901</v>
      </c>
      <c r="D28" s="298" t="s">
        <v>34</v>
      </c>
      <c r="E28" s="296" t="s">
        <v>20</v>
      </c>
      <c r="F28" s="296" t="s">
        <v>354</v>
      </c>
      <c r="G28" s="294" t="s">
        <v>21</v>
      </c>
      <c r="H28" s="13"/>
      <c r="I28" s="10"/>
      <c r="J28" s="10"/>
      <c r="K28" s="10" t="s">
        <v>29</v>
      </c>
      <c r="L28" s="7" t="s">
        <v>36</v>
      </c>
      <c r="M28" s="10" t="s">
        <v>38</v>
      </c>
      <c r="N28" s="307">
        <v>5718444</v>
      </c>
      <c r="O28" s="307">
        <v>5718444</v>
      </c>
      <c r="P28" s="99">
        <v>5880817</v>
      </c>
      <c r="Q28" s="99">
        <v>5880167</v>
      </c>
      <c r="R28" s="366">
        <v>5880167</v>
      </c>
      <c r="S28" s="366">
        <v>5880167</v>
      </c>
    </row>
    <row r="29" spans="1:19" ht="90" x14ac:dyDescent="0.25">
      <c r="A29" s="295"/>
      <c r="B29" s="297"/>
      <c r="C29" s="295"/>
      <c r="D29" s="299"/>
      <c r="E29" s="297"/>
      <c r="F29" s="297"/>
      <c r="G29" s="295"/>
      <c r="H29" s="10"/>
      <c r="I29" s="10"/>
      <c r="J29" s="10"/>
      <c r="K29" s="10" t="s">
        <v>37</v>
      </c>
      <c r="L29" s="7"/>
      <c r="M29" s="10" t="s">
        <v>380</v>
      </c>
      <c r="N29" s="308"/>
      <c r="O29" s="308"/>
      <c r="P29" s="100"/>
      <c r="Q29" s="100"/>
      <c r="R29" s="367"/>
      <c r="S29" s="367"/>
    </row>
    <row r="30" spans="1:19" ht="90" x14ac:dyDescent="0.25">
      <c r="A30" s="294">
        <v>2613</v>
      </c>
      <c r="B30" s="296" t="s">
        <v>39</v>
      </c>
      <c r="C30" s="294">
        <v>901</v>
      </c>
      <c r="D30" s="298" t="s">
        <v>40</v>
      </c>
      <c r="E30" s="10" t="s">
        <v>20</v>
      </c>
      <c r="F30" s="10" t="s">
        <v>355</v>
      </c>
      <c r="G30" s="10" t="s">
        <v>21</v>
      </c>
      <c r="H30" s="10" t="s">
        <v>42</v>
      </c>
      <c r="I30" s="10" t="s">
        <v>357</v>
      </c>
      <c r="J30" s="10" t="s">
        <v>43</v>
      </c>
      <c r="K30" s="10" t="s">
        <v>29</v>
      </c>
      <c r="L30" s="10"/>
      <c r="M30" s="10" t="s">
        <v>30</v>
      </c>
      <c r="N30" s="307">
        <f>9223208.9+363200</f>
        <v>9586408.9000000004</v>
      </c>
      <c r="O30" s="307">
        <f>9223208.9+363200</f>
        <v>9586408.9000000004</v>
      </c>
      <c r="P30" s="307">
        <v>0</v>
      </c>
      <c r="Q30" s="307">
        <v>0</v>
      </c>
      <c r="R30" s="307">
        <v>0</v>
      </c>
      <c r="S30" s="307">
        <v>0</v>
      </c>
    </row>
    <row r="31" spans="1:19" ht="180" x14ac:dyDescent="0.25">
      <c r="A31" s="295"/>
      <c r="B31" s="297"/>
      <c r="C31" s="295"/>
      <c r="D31" s="299"/>
      <c r="E31" s="10" t="s">
        <v>41</v>
      </c>
      <c r="F31" s="10" t="s">
        <v>356</v>
      </c>
      <c r="G31" s="10" t="s">
        <v>44</v>
      </c>
      <c r="H31" s="10"/>
      <c r="I31" s="10"/>
      <c r="J31" s="10"/>
      <c r="K31" s="10" t="s">
        <v>467</v>
      </c>
      <c r="L31" s="10"/>
      <c r="M31" s="18" t="s">
        <v>468</v>
      </c>
      <c r="N31" s="308"/>
      <c r="O31" s="308"/>
      <c r="P31" s="308"/>
      <c r="Q31" s="308"/>
      <c r="R31" s="308"/>
      <c r="S31" s="308"/>
    </row>
    <row r="32" spans="1:19" ht="90" x14ac:dyDescent="0.25">
      <c r="A32" s="82">
        <v>2626</v>
      </c>
      <c r="B32" s="71" t="s">
        <v>408</v>
      </c>
      <c r="C32" s="69">
        <v>901</v>
      </c>
      <c r="D32" s="72" t="s">
        <v>34</v>
      </c>
      <c r="E32" s="10" t="s">
        <v>20</v>
      </c>
      <c r="F32" s="10" t="s">
        <v>409</v>
      </c>
      <c r="G32" s="10" t="s">
        <v>21</v>
      </c>
      <c r="H32" s="10"/>
      <c r="I32" s="10"/>
      <c r="J32" s="10"/>
      <c r="K32" s="10" t="s">
        <v>29</v>
      </c>
      <c r="L32" s="10"/>
      <c r="M32" s="10" t="s">
        <v>30</v>
      </c>
      <c r="N32" s="70">
        <v>222777.5</v>
      </c>
      <c r="O32" s="70">
        <v>222777.5</v>
      </c>
      <c r="P32" s="70">
        <v>498044</v>
      </c>
      <c r="Q32" s="70">
        <v>409127</v>
      </c>
      <c r="R32" s="70">
        <v>409127</v>
      </c>
      <c r="S32" s="70">
        <v>409127</v>
      </c>
    </row>
    <row r="33" spans="1:19" s="23" customFormat="1" ht="171" x14ac:dyDescent="0.2">
      <c r="A33" s="246">
        <v>3100</v>
      </c>
      <c r="B33" s="247" t="s">
        <v>546</v>
      </c>
      <c r="C33" s="248"/>
      <c r="D33" s="249"/>
      <c r="E33" s="17"/>
      <c r="F33" s="17"/>
      <c r="G33" s="17"/>
      <c r="H33" s="17"/>
      <c r="I33" s="17"/>
      <c r="J33" s="17"/>
      <c r="K33" s="17"/>
      <c r="L33" s="17"/>
      <c r="M33" s="17"/>
      <c r="N33" s="252">
        <f t="shared" ref="N33:S33" si="3">N34+N36</f>
        <v>46400</v>
      </c>
      <c r="O33" s="252">
        <f t="shared" si="3"/>
        <v>0</v>
      </c>
      <c r="P33" s="252">
        <f t="shared" si="3"/>
        <v>516200</v>
      </c>
      <c r="Q33" s="252">
        <f t="shared" si="3"/>
        <v>17900</v>
      </c>
      <c r="R33" s="252">
        <f t="shared" si="3"/>
        <v>0</v>
      </c>
      <c r="S33" s="252">
        <f t="shared" si="3"/>
        <v>0</v>
      </c>
    </row>
    <row r="34" spans="1:19" ht="150" x14ac:dyDescent="0.25">
      <c r="A34" s="294">
        <v>3103</v>
      </c>
      <c r="B34" s="296" t="s">
        <v>386</v>
      </c>
      <c r="C34" s="294">
        <v>901</v>
      </c>
      <c r="D34" s="298" t="s">
        <v>90</v>
      </c>
      <c r="E34" s="10" t="s">
        <v>89</v>
      </c>
      <c r="F34" s="10" t="s">
        <v>53</v>
      </c>
      <c r="G34" s="10" t="s">
        <v>91</v>
      </c>
      <c r="H34" s="10" t="s">
        <v>93</v>
      </c>
      <c r="I34" s="10" t="s">
        <v>55</v>
      </c>
      <c r="J34" s="10" t="s">
        <v>94</v>
      </c>
      <c r="K34" s="220" t="s">
        <v>420</v>
      </c>
      <c r="L34" s="10"/>
      <c r="M34" s="10" t="s">
        <v>421</v>
      </c>
      <c r="N34" s="292">
        <v>46400</v>
      </c>
      <c r="O34" s="292">
        <v>0</v>
      </c>
      <c r="P34" s="241">
        <v>516200</v>
      </c>
      <c r="Q34" s="241">
        <v>17900</v>
      </c>
      <c r="R34" s="292">
        <v>0</v>
      </c>
      <c r="S34" s="292">
        <v>0</v>
      </c>
    </row>
    <row r="35" spans="1:19" ht="150" x14ac:dyDescent="0.25">
      <c r="A35" s="295"/>
      <c r="B35" s="297"/>
      <c r="C35" s="295"/>
      <c r="D35" s="299"/>
      <c r="E35" s="10" t="s">
        <v>69</v>
      </c>
      <c r="F35" s="10" t="s">
        <v>92</v>
      </c>
      <c r="G35" s="10" t="s">
        <v>71</v>
      </c>
      <c r="H35" s="10"/>
      <c r="I35" s="10"/>
      <c r="J35" s="10"/>
      <c r="K35" s="10"/>
      <c r="L35" s="10"/>
      <c r="M35" s="10"/>
      <c r="N35" s="293"/>
      <c r="O35" s="293"/>
      <c r="P35" s="242"/>
      <c r="Q35" s="242"/>
      <c r="R35" s="293"/>
      <c r="S35" s="293"/>
    </row>
    <row r="36" spans="1:19" ht="270" x14ac:dyDescent="0.25">
      <c r="A36" s="243">
        <v>3130</v>
      </c>
      <c r="B36" s="244" t="s">
        <v>547</v>
      </c>
      <c r="C36" s="243">
        <v>901</v>
      </c>
      <c r="D36" s="245" t="s">
        <v>34</v>
      </c>
      <c r="E36" s="10" t="s">
        <v>69</v>
      </c>
      <c r="F36" s="10" t="s">
        <v>92</v>
      </c>
      <c r="G36" s="10" t="s">
        <v>71</v>
      </c>
      <c r="H36" s="10" t="s">
        <v>504</v>
      </c>
      <c r="I36" s="10"/>
      <c r="J36" s="10" t="s">
        <v>505</v>
      </c>
      <c r="K36" s="220" t="s">
        <v>506</v>
      </c>
      <c r="L36" s="10"/>
      <c r="M36" s="73" t="s">
        <v>507</v>
      </c>
      <c r="N36" s="242"/>
      <c r="O36" s="242"/>
      <c r="P36" s="242">
        <v>0</v>
      </c>
      <c r="Q36" s="242"/>
      <c r="R36" s="242"/>
      <c r="S36" s="242"/>
    </row>
    <row r="37" spans="1:19" s="23" customFormat="1" ht="156.75" x14ac:dyDescent="0.2">
      <c r="A37" s="16">
        <v>3200</v>
      </c>
      <c r="B37" s="17" t="s">
        <v>416</v>
      </c>
      <c r="C37" s="28"/>
      <c r="D37" s="85"/>
      <c r="E37" s="28"/>
      <c r="F37" s="28"/>
      <c r="G37" s="28"/>
      <c r="H37" s="28"/>
      <c r="I37" s="28"/>
      <c r="J37" s="28"/>
      <c r="K37" s="17"/>
      <c r="L37" s="17"/>
      <c r="M37" s="17"/>
      <c r="N37" s="40">
        <f t="shared" ref="N37:S37" si="4">SUM(N38:N44)+N45</f>
        <v>5716790</v>
      </c>
      <c r="O37" s="40">
        <f t="shared" si="4"/>
        <v>5387190</v>
      </c>
      <c r="P37" s="40">
        <f t="shared" si="4"/>
        <v>7988200</v>
      </c>
      <c r="Q37" s="40">
        <f t="shared" si="4"/>
        <v>7988200</v>
      </c>
      <c r="R37" s="40">
        <f t="shared" si="4"/>
        <v>7988200</v>
      </c>
      <c r="S37" s="40">
        <f t="shared" si="4"/>
        <v>7988200</v>
      </c>
    </row>
    <row r="38" spans="1:19" ht="135" x14ac:dyDescent="0.25">
      <c r="A38" s="158">
        <v>3293</v>
      </c>
      <c r="B38" s="157" t="s">
        <v>385</v>
      </c>
      <c r="C38" s="90">
        <v>901</v>
      </c>
      <c r="D38" s="92" t="s">
        <v>34</v>
      </c>
      <c r="E38" s="91" t="s">
        <v>62</v>
      </c>
      <c r="F38" s="91" t="s">
        <v>63</v>
      </c>
      <c r="G38" s="91" t="s">
        <v>64</v>
      </c>
      <c r="H38" s="91" t="s">
        <v>65</v>
      </c>
      <c r="I38" s="91" t="s">
        <v>55</v>
      </c>
      <c r="J38" s="91" t="s">
        <v>66</v>
      </c>
      <c r="K38" s="224" t="s">
        <v>413</v>
      </c>
      <c r="L38" s="10"/>
      <c r="M38" s="73" t="s">
        <v>419</v>
      </c>
      <c r="N38" s="39">
        <v>267890</v>
      </c>
      <c r="O38" s="39">
        <v>267890</v>
      </c>
      <c r="P38" s="39">
        <v>292200</v>
      </c>
      <c r="Q38" s="39">
        <v>292200</v>
      </c>
      <c r="R38" s="39">
        <v>292200</v>
      </c>
      <c r="S38" s="39">
        <v>292200</v>
      </c>
    </row>
    <row r="39" spans="1:19" ht="255" x14ac:dyDescent="0.25">
      <c r="A39" s="263" t="s">
        <v>548</v>
      </c>
      <c r="B39" s="76" t="s">
        <v>67</v>
      </c>
      <c r="C39" s="12">
        <v>901</v>
      </c>
      <c r="D39" s="21" t="s">
        <v>68</v>
      </c>
      <c r="E39" s="10" t="s">
        <v>69</v>
      </c>
      <c r="F39" s="10" t="s">
        <v>70</v>
      </c>
      <c r="G39" s="10" t="s">
        <v>71</v>
      </c>
      <c r="H39" s="10" t="s">
        <v>72</v>
      </c>
      <c r="I39" s="10" t="s">
        <v>55</v>
      </c>
      <c r="J39" s="10" t="s">
        <v>73</v>
      </c>
      <c r="K39" s="10" t="s">
        <v>96</v>
      </c>
      <c r="L39" s="10"/>
      <c r="M39" s="10" t="s">
        <v>74</v>
      </c>
      <c r="N39" s="39">
        <v>179700</v>
      </c>
      <c r="O39" s="39">
        <v>179700</v>
      </c>
      <c r="P39" s="39">
        <v>254400</v>
      </c>
      <c r="Q39" s="39">
        <v>254400</v>
      </c>
      <c r="R39" s="39">
        <v>254400</v>
      </c>
      <c r="S39" s="39">
        <v>254400</v>
      </c>
    </row>
    <row r="40" spans="1:19" ht="150" x14ac:dyDescent="0.25">
      <c r="A40" s="263" t="s">
        <v>548</v>
      </c>
      <c r="B40" s="187" t="s">
        <v>485</v>
      </c>
      <c r="C40" s="189">
        <v>901</v>
      </c>
      <c r="D40" s="188" t="s">
        <v>68</v>
      </c>
      <c r="E40" s="187" t="s">
        <v>69</v>
      </c>
      <c r="F40" s="187" t="s">
        <v>77</v>
      </c>
      <c r="G40" s="187" t="s">
        <v>71</v>
      </c>
      <c r="H40" s="10"/>
      <c r="I40" s="10"/>
      <c r="J40" s="10"/>
      <c r="K40" s="73" t="s">
        <v>561</v>
      </c>
      <c r="L40" s="73"/>
      <c r="M40" s="73" t="s">
        <v>568</v>
      </c>
      <c r="N40" s="186">
        <v>329600</v>
      </c>
      <c r="O40" s="186">
        <v>0</v>
      </c>
      <c r="P40" s="186">
        <v>1951900</v>
      </c>
      <c r="Q40" s="186">
        <v>1951900</v>
      </c>
      <c r="R40" s="186">
        <v>1951900</v>
      </c>
      <c r="S40" s="186">
        <v>1951900</v>
      </c>
    </row>
    <row r="41" spans="1:19" ht="225" x14ac:dyDescent="0.25">
      <c r="A41" s="263" t="s">
        <v>548</v>
      </c>
      <c r="B41" s="296" t="s">
        <v>75</v>
      </c>
      <c r="C41" s="335">
        <v>901</v>
      </c>
      <c r="D41" s="298" t="s">
        <v>68</v>
      </c>
      <c r="E41" s="364" t="s">
        <v>69</v>
      </c>
      <c r="F41" s="294" t="s">
        <v>77</v>
      </c>
      <c r="G41" s="294" t="s">
        <v>71</v>
      </c>
      <c r="H41" s="10" t="s">
        <v>78</v>
      </c>
      <c r="I41" s="10" t="s">
        <v>55</v>
      </c>
      <c r="J41" s="10" t="s">
        <v>79</v>
      </c>
      <c r="K41" s="10" t="s">
        <v>82</v>
      </c>
      <c r="L41" s="10"/>
      <c r="M41" s="10" t="s">
        <v>83</v>
      </c>
      <c r="N41" s="292">
        <v>2226100</v>
      </c>
      <c r="O41" s="292">
        <v>2226100</v>
      </c>
      <c r="P41" s="50">
        <v>2441600</v>
      </c>
      <c r="Q41" s="50">
        <v>2441600</v>
      </c>
      <c r="R41" s="292">
        <v>2441600</v>
      </c>
      <c r="S41" s="292">
        <v>2441600</v>
      </c>
    </row>
    <row r="42" spans="1:19" ht="105" x14ac:dyDescent="0.25">
      <c r="A42" s="240"/>
      <c r="B42" s="297"/>
      <c r="C42" s="336"/>
      <c r="D42" s="299"/>
      <c r="E42" s="365"/>
      <c r="F42" s="295"/>
      <c r="G42" s="295"/>
      <c r="H42" s="10" t="s">
        <v>80</v>
      </c>
      <c r="I42" s="10" t="s">
        <v>55</v>
      </c>
      <c r="J42" s="10" t="s">
        <v>81</v>
      </c>
      <c r="K42" s="10"/>
      <c r="L42" s="10"/>
      <c r="M42" s="10"/>
      <c r="N42" s="293"/>
      <c r="O42" s="293"/>
      <c r="P42" s="51"/>
      <c r="Q42" s="51"/>
      <c r="R42" s="293"/>
      <c r="S42" s="293"/>
    </row>
    <row r="43" spans="1:19" ht="210" x14ac:dyDescent="0.25">
      <c r="A43" s="305" t="s">
        <v>548</v>
      </c>
      <c r="B43" s="313" t="s">
        <v>84</v>
      </c>
      <c r="C43" s="294">
        <v>901</v>
      </c>
      <c r="D43" s="298" t="s">
        <v>68</v>
      </c>
      <c r="E43" s="10" t="s">
        <v>69</v>
      </c>
      <c r="F43" s="10" t="s">
        <v>76</v>
      </c>
      <c r="G43" s="10" t="s">
        <v>71</v>
      </c>
      <c r="H43" s="10" t="s">
        <v>85</v>
      </c>
      <c r="I43" s="10" t="s">
        <v>55</v>
      </c>
      <c r="J43" s="10" t="s">
        <v>86</v>
      </c>
      <c r="K43" s="220" t="s">
        <v>414</v>
      </c>
      <c r="L43" s="10"/>
      <c r="M43" s="73" t="s">
        <v>419</v>
      </c>
      <c r="N43" s="292">
        <v>764000</v>
      </c>
      <c r="O43" s="292">
        <v>764000</v>
      </c>
      <c r="P43" s="50">
        <v>911100</v>
      </c>
      <c r="Q43" s="50">
        <v>911100</v>
      </c>
      <c r="R43" s="292">
        <v>911100</v>
      </c>
      <c r="S43" s="292">
        <v>911100</v>
      </c>
    </row>
    <row r="44" spans="1:19" ht="90" x14ac:dyDescent="0.25">
      <c r="A44" s="295"/>
      <c r="B44" s="297"/>
      <c r="C44" s="295"/>
      <c r="D44" s="299"/>
      <c r="E44" s="10"/>
      <c r="F44" s="10"/>
      <c r="G44" s="10"/>
      <c r="H44" s="10" t="s">
        <v>87</v>
      </c>
      <c r="I44" s="10" t="s">
        <v>55</v>
      </c>
      <c r="J44" s="10" t="s">
        <v>88</v>
      </c>
      <c r="K44" s="10"/>
      <c r="L44" s="10"/>
      <c r="M44" s="73"/>
      <c r="N44" s="293"/>
      <c r="O44" s="293"/>
      <c r="P44" s="51"/>
      <c r="Q44" s="51"/>
      <c r="R44" s="293"/>
      <c r="S44" s="293"/>
    </row>
    <row r="45" spans="1:19" ht="255" x14ac:dyDescent="0.25">
      <c r="A45" s="263" t="s">
        <v>548</v>
      </c>
      <c r="B45" s="148" t="s">
        <v>446</v>
      </c>
      <c r="C45" s="149">
        <v>901</v>
      </c>
      <c r="D45" s="150" t="s">
        <v>360</v>
      </c>
      <c r="E45" s="10" t="s">
        <v>69</v>
      </c>
      <c r="F45" s="10" t="s">
        <v>76</v>
      </c>
      <c r="G45" s="10" t="s">
        <v>71</v>
      </c>
      <c r="H45" s="10" t="s">
        <v>447</v>
      </c>
      <c r="I45" s="10" t="s">
        <v>224</v>
      </c>
      <c r="J45" s="10" t="s">
        <v>448</v>
      </c>
      <c r="K45" s="220" t="s">
        <v>454</v>
      </c>
      <c r="L45" s="10"/>
      <c r="M45" s="73" t="s">
        <v>466</v>
      </c>
      <c r="N45" s="151">
        <v>1949500</v>
      </c>
      <c r="O45" s="151">
        <v>1949500</v>
      </c>
      <c r="P45" s="151">
        <v>2137000</v>
      </c>
      <c r="Q45" s="151">
        <v>2137000</v>
      </c>
      <c r="R45" s="151">
        <v>2137000</v>
      </c>
      <c r="S45" s="151">
        <v>2137000</v>
      </c>
    </row>
    <row r="46" spans="1:19" ht="28.5" x14ac:dyDescent="0.25">
      <c r="A46" s="33"/>
      <c r="B46" s="32" t="s">
        <v>97</v>
      </c>
      <c r="C46" s="33">
        <v>902</v>
      </c>
      <c r="D46" s="34"/>
      <c r="E46" s="32"/>
      <c r="F46" s="32"/>
      <c r="G46" s="32"/>
      <c r="H46" s="32"/>
      <c r="I46" s="32"/>
      <c r="J46" s="32"/>
      <c r="K46" s="32"/>
      <c r="L46" s="32"/>
      <c r="M46" s="32"/>
      <c r="N46" s="41">
        <f t="shared" ref="N46:S46" si="5">N47+N59+N55</f>
        <v>71404004.819999993</v>
      </c>
      <c r="O46" s="41">
        <f t="shared" si="5"/>
        <v>71214674.129999995</v>
      </c>
      <c r="P46" s="41">
        <f t="shared" si="5"/>
        <v>128932568</v>
      </c>
      <c r="Q46" s="41">
        <f t="shared" si="5"/>
        <v>153775045</v>
      </c>
      <c r="R46" s="41">
        <f t="shared" si="5"/>
        <v>53179645</v>
      </c>
      <c r="S46" s="41">
        <f t="shared" si="5"/>
        <v>53179645</v>
      </c>
    </row>
    <row r="47" spans="1:19" s="23" customFormat="1" ht="57" x14ac:dyDescent="0.2">
      <c r="A47" s="111">
        <v>2500</v>
      </c>
      <c r="B47" s="115" t="s">
        <v>541</v>
      </c>
      <c r="C47" s="16"/>
      <c r="D47" s="26"/>
      <c r="E47" s="17"/>
      <c r="F47" s="17"/>
      <c r="G47" s="17"/>
      <c r="H47" s="17"/>
      <c r="I47" s="17"/>
      <c r="J47" s="17"/>
      <c r="K47" s="17"/>
      <c r="L47" s="17"/>
      <c r="M47" s="17"/>
      <c r="N47" s="40">
        <f t="shared" ref="N47:S47" si="6">N48+N52+N53</f>
        <v>7927368.0299999993</v>
      </c>
      <c r="O47" s="40">
        <f t="shared" si="6"/>
        <v>7927368.0299999993</v>
      </c>
      <c r="P47" s="40">
        <f t="shared" si="6"/>
        <v>8467298</v>
      </c>
      <c r="Q47" s="40">
        <f t="shared" si="6"/>
        <v>2055073</v>
      </c>
      <c r="R47" s="40">
        <f t="shared" si="6"/>
        <v>1691573</v>
      </c>
      <c r="S47" s="40">
        <f t="shared" si="6"/>
        <v>1691573</v>
      </c>
    </row>
    <row r="48" spans="1:19" ht="270" x14ac:dyDescent="0.25">
      <c r="A48" s="294">
        <v>2504</v>
      </c>
      <c r="B48" s="296" t="s">
        <v>98</v>
      </c>
      <c r="C48" s="294">
        <v>902</v>
      </c>
      <c r="D48" s="298" t="s">
        <v>34</v>
      </c>
      <c r="E48" s="10" t="s">
        <v>20</v>
      </c>
      <c r="F48" s="10" t="s">
        <v>102</v>
      </c>
      <c r="G48" s="10" t="s">
        <v>99</v>
      </c>
      <c r="H48" s="10" t="s">
        <v>109</v>
      </c>
      <c r="I48" s="10" t="s">
        <v>55</v>
      </c>
      <c r="J48" s="10" t="s">
        <v>26</v>
      </c>
      <c r="K48" s="10" t="s">
        <v>424</v>
      </c>
      <c r="L48" s="10"/>
      <c r="M48" s="10" t="s">
        <v>114</v>
      </c>
      <c r="N48" s="307">
        <f>1631920.69+178775</f>
        <v>1810695.69</v>
      </c>
      <c r="O48" s="307">
        <f>1631920.69+178775</f>
        <v>1810695.69</v>
      </c>
      <c r="P48" s="53">
        <f>1196000+96000</f>
        <v>1292000</v>
      </c>
      <c r="Q48" s="53">
        <v>0</v>
      </c>
      <c r="R48" s="307">
        <v>0</v>
      </c>
      <c r="S48" s="307">
        <v>0</v>
      </c>
    </row>
    <row r="49" spans="1:19" ht="105" x14ac:dyDescent="0.25">
      <c r="A49" s="305"/>
      <c r="B49" s="313"/>
      <c r="C49" s="305"/>
      <c r="D49" s="306"/>
      <c r="E49" s="10" t="s">
        <v>100</v>
      </c>
      <c r="F49" s="10" t="s">
        <v>101</v>
      </c>
      <c r="G49" s="10" t="s">
        <v>103</v>
      </c>
      <c r="H49" s="10" t="s">
        <v>110</v>
      </c>
      <c r="I49" s="10" t="s">
        <v>55</v>
      </c>
      <c r="J49" s="10" t="s">
        <v>111</v>
      </c>
      <c r="K49" s="10" t="s">
        <v>115</v>
      </c>
      <c r="L49" s="10"/>
      <c r="M49" s="10" t="s">
        <v>116</v>
      </c>
      <c r="N49" s="309"/>
      <c r="O49" s="309"/>
      <c r="P49" s="54"/>
      <c r="Q49" s="54"/>
      <c r="R49" s="309"/>
      <c r="S49" s="309"/>
    </row>
    <row r="50" spans="1:19" ht="195" x14ac:dyDescent="0.25">
      <c r="A50" s="305"/>
      <c r="B50" s="313"/>
      <c r="C50" s="305"/>
      <c r="D50" s="306"/>
      <c r="E50" s="10" t="s">
        <v>104</v>
      </c>
      <c r="F50" s="10" t="s">
        <v>105</v>
      </c>
      <c r="G50" s="10" t="s">
        <v>106</v>
      </c>
      <c r="H50" s="10" t="s">
        <v>112</v>
      </c>
      <c r="I50" s="10" t="s">
        <v>55</v>
      </c>
      <c r="J50" s="10" t="s">
        <v>113</v>
      </c>
      <c r="K50" s="10" t="s">
        <v>117</v>
      </c>
      <c r="L50" s="10"/>
      <c r="M50" s="10" t="s">
        <v>118</v>
      </c>
      <c r="N50" s="309"/>
      <c r="O50" s="309"/>
      <c r="P50" s="54"/>
      <c r="Q50" s="54"/>
      <c r="R50" s="309"/>
      <c r="S50" s="309"/>
    </row>
    <row r="51" spans="1:19" ht="285" x14ac:dyDescent="0.25">
      <c r="A51" s="295"/>
      <c r="B51" s="297"/>
      <c r="C51" s="295"/>
      <c r="D51" s="299"/>
      <c r="E51" s="10" t="s">
        <v>107</v>
      </c>
      <c r="F51" s="10" t="s">
        <v>55</v>
      </c>
      <c r="G51" s="10" t="s">
        <v>108</v>
      </c>
      <c r="H51" s="10" t="s">
        <v>27</v>
      </c>
      <c r="I51" s="11" t="s">
        <v>55</v>
      </c>
      <c r="J51" s="10" t="s">
        <v>28</v>
      </c>
      <c r="K51" s="10" t="s">
        <v>29</v>
      </c>
      <c r="L51" s="10" t="s">
        <v>119</v>
      </c>
      <c r="M51" s="10" t="s">
        <v>30</v>
      </c>
      <c r="N51" s="308"/>
      <c r="O51" s="308"/>
      <c r="P51" s="55"/>
      <c r="Q51" s="55"/>
      <c r="R51" s="308"/>
      <c r="S51" s="308"/>
    </row>
    <row r="52" spans="1:19" ht="150" x14ac:dyDescent="0.25">
      <c r="A52" s="12">
        <v>2508</v>
      </c>
      <c r="B52" s="10" t="s">
        <v>45</v>
      </c>
      <c r="C52" s="12">
        <v>902</v>
      </c>
      <c r="D52" s="21" t="s">
        <v>120</v>
      </c>
      <c r="E52" s="10" t="s">
        <v>20</v>
      </c>
      <c r="F52" s="10" t="s">
        <v>121</v>
      </c>
      <c r="G52" s="10" t="s">
        <v>99</v>
      </c>
      <c r="H52" s="10"/>
      <c r="I52" s="10"/>
      <c r="J52" s="10"/>
      <c r="K52" s="10" t="s">
        <v>29</v>
      </c>
      <c r="L52" s="10" t="s">
        <v>122</v>
      </c>
      <c r="M52" s="10" t="s">
        <v>30</v>
      </c>
      <c r="N52" s="39">
        <v>5841672.3399999999</v>
      </c>
      <c r="O52" s="39">
        <v>5841672.3399999999</v>
      </c>
      <c r="P52" s="39">
        <v>6325298</v>
      </c>
      <c r="Q52" s="39">
        <v>2055073</v>
      </c>
      <c r="R52" s="39">
        <v>1691573</v>
      </c>
      <c r="S52" s="39">
        <v>1691573</v>
      </c>
    </row>
    <row r="53" spans="1:19" ht="90" x14ac:dyDescent="0.25">
      <c r="A53" s="294">
        <v>2544</v>
      </c>
      <c r="B53" s="296" t="s">
        <v>123</v>
      </c>
      <c r="C53" s="294">
        <v>902</v>
      </c>
      <c r="D53" s="298" t="s">
        <v>124</v>
      </c>
      <c r="E53" s="10" t="s">
        <v>20</v>
      </c>
      <c r="F53" s="10" t="s">
        <v>125</v>
      </c>
      <c r="G53" s="10" t="s">
        <v>99</v>
      </c>
      <c r="H53" s="10" t="s">
        <v>126</v>
      </c>
      <c r="I53" s="10" t="s">
        <v>127</v>
      </c>
      <c r="J53" s="10" t="s">
        <v>128</v>
      </c>
      <c r="K53" s="10" t="s">
        <v>29</v>
      </c>
      <c r="L53" s="10"/>
      <c r="M53" s="10" t="s">
        <v>38</v>
      </c>
      <c r="N53" s="292">
        <v>275000</v>
      </c>
      <c r="O53" s="292">
        <v>275000</v>
      </c>
      <c r="P53" s="292">
        <v>850000</v>
      </c>
      <c r="Q53" s="292">
        <v>0</v>
      </c>
      <c r="R53" s="292">
        <v>0</v>
      </c>
      <c r="S53" s="292">
        <v>0</v>
      </c>
    </row>
    <row r="54" spans="1:19" ht="75" x14ac:dyDescent="0.25">
      <c r="A54" s="295"/>
      <c r="B54" s="297"/>
      <c r="C54" s="295"/>
      <c r="D54" s="299"/>
      <c r="E54" s="10"/>
      <c r="F54" s="10"/>
      <c r="G54" s="10"/>
      <c r="H54" s="10"/>
      <c r="I54" s="10"/>
      <c r="J54" s="10"/>
      <c r="K54" s="10" t="s">
        <v>129</v>
      </c>
      <c r="L54" s="10"/>
      <c r="M54" s="10" t="s">
        <v>130</v>
      </c>
      <c r="N54" s="293"/>
      <c r="O54" s="293"/>
      <c r="P54" s="293"/>
      <c r="Q54" s="293"/>
      <c r="R54" s="293"/>
      <c r="S54" s="293"/>
    </row>
    <row r="55" spans="1:19" s="23" customFormat="1" ht="114" x14ac:dyDescent="0.2">
      <c r="A55" s="84">
        <v>2600</v>
      </c>
      <c r="B55" s="261" t="s">
        <v>542</v>
      </c>
      <c r="C55" s="8"/>
      <c r="D55" s="8"/>
      <c r="E55" s="8"/>
      <c r="F55" s="8"/>
      <c r="G55" s="8"/>
      <c r="H55" s="8"/>
      <c r="I55" s="8"/>
      <c r="J55" s="8"/>
      <c r="K55" s="8"/>
      <c r="L55" s="8"/>
      <c r="M55" s="8"/>
      <c r="N55" s="49">
        <f t="shared" ref="N55:S55" si="7">N56</f>
        <v>17663782.100000001</v>
      </c>
      <c r="O55" s="49">
        <f t="shared" si="7"/>
        <v>17663782.100000001</v>
      </c>
      <c r="P55" s="49">
        <f t="shared" si="7"/>
        <v>16947070</v>
      </c>
      <c r="Q55" s="49">
        <f t="shared" si="7"/>
        <v>16981972</v>
      </c>
      <c r="R55" s="49">
        <f t="shared" si="7"/>
        <v>16981972</v>
      </c>
      <c r="S55" s="49">
        <f t="shared" si="7"/>
        <v>16981972</v>
      </c>
    </row>
    <row r="56" spans="1:19" ht="45" x14ac:dyDescent="0.25">
      <c r="A56" s="314" t="s">
        <v>532</v>
      </c>
      <c r="B56" s="296" t="s">
        <v>382</v>
      </c>
      <c r="C56" s="316">
        <v>902</v>
      </c>
      <c r="D56" s="298" t="s">
        <v>34</v>
      </c>
      <c r="E56" s="296" t="s">
        <v>20</v>
      </c>
      <c r="F56" s="296" t="s">
        <v>353</v>
      </c>
      <c r="G56" s="294" t="s">
        <v>21</v>
      </c>
      <c r="H56" s="296" t="s">
        <v>24</v>
      </c>
      <c r="I56" s="319" t="s">
        <v>55</v>
      </c>
      <c r="J56" s="294" t="s">
        <v>26</v>
      </c>
      <c r="K56" s="10" t="s">
        <v>29</v>
      </c>
      <c r="L56" s="4"/>
      <c r="M56" s="10" t="s">
        <v>30</v>
      </c>
      <c r="N56" s="310">
        <f>12065562.94+5598219.16</f>
        <v>17663782.100000001</v>
      </c>
      <c r="O56" s="310">
        <f>12065562.94+5598219.16</f>
        <v>17663782.100000001</v>
      </c>
      <c r="P56" s="142">
        <f>12929087+4017983</f>
        <v>16947070</v>
      </c>
      <c r="Q56" s="146">
        <f>12929087+4052885</f>
        <v>16981972</v>
      </c>
      <c r="R56" s="310">
        <f>4052885+12929087</f>
        <v>16981972</v>
      </c>
      <c r="S56" s="310">
        <v>16981972</v>
      </c>
    </row>
    <row r="57" spans="1:19" ht="45" x14ac:dyDescent="0.25">
      <c r="A57" s="315"/>
      <c r="B57" s="313"/>
      <c r="C57" s="317"/>
      <c r="D57" s="306"/>
      <c r="E57" s="297"/>
      <c r="F57" s="297"/>
      <c r="G57" s="295"/>
      <c r="H57" s="297"/>
      <c r="I57" s="320"/>
      <c r="J57" s="295"/>
      <c r="K57" s="10" t="s">
        <v>117</v>
      </c>
      <c r="L57" s="10"/>
      <c r="M57" s="10" t="s">
        <v>118</v>
      </c>
      <c r="N57" s="311"/>
      <c r="O57" s="311"/>
      <c r="P57" s="143"/>
      <c r="Q57" s="143"/>
      <c r="R57" s="311"/>
      <c r="S57" s="311"/>
    </row>
    <row r="58" spans="1:19" ht="285" x14ac:dyDescent="0.25">
      <c r="A58" s="315"/>
      <c r="B58" s="313"/>
      <c r="C58" s="317"/>
      <c r="D58" s="306"/>
      <c r="E58" s="9" t="s">
        <v>22</v>
      </c>
      <c r="F58" s="7" t="s">
        <v>55</v>
      </c>
      <c r="G58" s="9" t="s">
        <v>23</v>
      </c>
      <c r="H58" s="10" t="s">
        <v>27</v>
      </c>
      <c r="I58" s="11" t="s">
        <v>55</v>
      </c>
      <c r="J58" s="10" t="s">
        <v>28</v>
      </c>
      <c r="K58" s="10" t="s">
        <v>115</v>
      </c>
      <c r="L58" s="10"/>
      <c r="M58" s="10" t="s">
        <v>116</v>
      </c>
      <c r="N58" s="311"/>
      <c r="O58" s="311"/>
      <c r="P58" s="143"/>
      <c r="Q58" s="143"/>
      <c r="R58" s="311"/>
      <c r="S58" s="311"/>
    </row>
    <row r="59" spans="1:19" s="23" customFormat="1" ht="156.75" x14ac:dyDescent="0.2">
      <c r="A59" s="16">
        <v>3200</v>
      </c>
      <c r="B59" s="17" t="s">
        <v>416</v>
      </c>
      <c r="C59" s="16"/>
      <c r="D59" s="26"/>
      <c r="E59" s="17"/>
      <c r="F59" s="17"/>
      <c r="G59" s="17"/>
      <c r="H59" s="17"/>
      <c r="I59" s="17"/>
      <c r="J59" s="17"/>
      <c r="K59" s="17"/>
      <c r="L59" s="17"/>
      <c r="M59" s="17"/>
      <c r="N59" s="40">
        <f t="shared" ref="N59:S59" si="8">N60</f>
        <v>45812854.689999998</v>
      </c>
      <c r="O59" s="40">
        <f t="shared" si="8"/>
        <v>45623524</v>
      </c>
      <c r="P59" s="40">
        <f t="shared" si="8"/>
        <v>103518200</v>
      </c>
      <c r="Q59" s="40">
        <f t="shared" si="8"/>
        <v>134738000</v>
      </c>
      <c r="R59" s="40">
        <f t="shared" si="8"/>
        <v>34506100</v>
      </c>
      <c r="S59" s="40">
        <f t="shared" si="8"/>
        <v>34506100</v>
      </c>
    </row>
    <row r="60" spans="1:19" ht="270" x14ac:dyDescent="0.25">
      <c r="A60" s="294">
        <v>3237</v>
      </c>
      <c r="B60" s="296" t="s">
        <v>387</v>
      </c>
      <c r="C60" s="294">
        <v>902</v>
      </c>
      <c r="D60" s="298" t="s">
        <v>131</v>
      </c>
      <c r="E60" s="296" t="s">
        <v>69</v>
      </c>
      <c r="F60" s="296" t="s">
        <v>132</v>
      </c>
      <c r="G60" s="296" t="s">
        <v>71</v>
      </c>
      <c r="H60" s="10" t="s">
        <v>133</v>
      </c>
      <c r="I60" s="10" t="s">
        <v>55</v>
      </c>
      <c r="J60" s="10" t="s">
        <v>134</v>
      </c>
      <c r="K60" s="10" t="s">
        <v>377</v>
      </c>
      <c r="L60" s="10"/>
      <c r="M60" s="10" t="s">
        <v>378</v>
      </c>
      <c r="N60" s="292">
        <v>45812854.689999998</v>
      </c>
      <c r="O60" s="292">
        <v>45623524</v>
      </c>
      <c r="P60" s="50">
        <v>103518200</v>
      </c>
      <c r="Q60" s="50">
        <v>134738000</v>
      </c>
      <c r="R60" s="292">
        <v>34506100</v>
      </c>
      <c r="S60" s="292">
        <v>34506100</v>
      </c>
    </row>
    <row r="61" spans="1:19" ht="60" x14ac:dyDescent="0.25">
      <c r="A61" s="295"/>
      <c r="B61" s="297"/>
      <c r="C61" s="295"/>
      <c r="D61" s="299"/>
      <c r="E61" s="297"/>
      <c r="F61" s="297"/>
      <c r="G61" s="297"/>
      <c r="H61" s="10" t="s">
        <v>135</v>
      </c>
      <c r="I61" s="10" t="s">
        <v>136</v>
      </c>
      <c r="J61" s="10" t="s">
        <v>137</v>
      </c>
      <c r="K61" s="10"/>
      <c r="L61" s="10"/>
      <c r="M61" s="10"/>
      <c r="N61" s="293"/>
      <c r="O61" s="293"/>
      <c r="P61" s="51"/>
      <c r="Q61" s="51"/>
      <c r="R61" s="293"/>
      <c r="S61" s="293"/>
    </row>
    <row r="62" spans="1:19" s="23" customFormat="1" ht="28.5" x14ac:dyDescent="0.2">
      <c r="A62" s="33"/>
      <c r="B62" s="32" t="s">
        <v>138</v>
      </c>
      <c r="C62" s="33">
        <v>903</v>
      </c>
      <c r="D62" s="34"/>
      <c r="E62" s="32"/>
      <c r="F62" s="32"/>
      <c r="G62" s="32"/>
      <c r="H62" s="32"/>
      <c r="I62" s="32"/>
      <c r="J62" s="32"/>
      <c r="K62" s="32"/>
      <c r="L62" s="32"/>
      <c r="M62" s="32"/>
      <c r="N62" s="41">
        <f t="shared" ref="N62:S62" si="9">N63+N65</f>
        <v>17463969</v>
      </c>
      <c r="O62" s="41">
        <f t="shared" si="9"/>
        <v>17176361.059999999</v>
      </c>
      <c r="P62" s="41">
        <f t="shared" si="9"/>
        <v>20392493</v>
      </c>
      <c r="Q62" s="41">
        <f t="shared" si="9"/>
        <v>20115493</v>
      </c>
      <c r="R62" s="41">
        <f t="shared" si="9"/>
        <v>19806493</v>
      </c>
      <c r="S62" s="41">
        <f t="shared" si="9"/>
        <v>19806493</v>
      </c>
    </row>
    <row r="63" spans="1:19" s="23" customFormat="1" ht="57" x14ac:dyDescent="0.2">
      <c r="A63" s="111">
        <v>2500</v>
      </c>
      <c r="B63" s="115" t="s">
        <v>541</v>
      </c>
      <c r="C63" s="16"/>
      <c r="D63" s="26"/>
      <c r="E63" s="17"/>
      <c r="F63" s="17"/>
      <c r="G63" s="17"/>
      <c r="H63" s="17"/>
      <c r="I63" s="17"/>
      <c r="J63" s="17"/>
      <c r="K63" s="17"/>
      <c r="L63" s="17"/>
      <c r="M63" s="17"/>
      <c r="N63" s="40">
        <f t="shared" ref="N63:S63" si="10">N64</f>
        <v>0</v>
      </c>
      <c r="O63" s="40">
        <f t="shared" si="10"/>
        <v>0</v>
      </c>
      <c r="P63" s="40">
        <f t="shared" si="10"/>
        <v>140000</v>
      </c>
      <c r="Q63" s="40">
        <f t="shared" si="10"/>
        <v>0</v>
      </c>
      <c r="R63" s="40">
        <f t="shared" si="10"/>
        <v>0</v>
      </c>
      <c r="S63" s="40">
        <f t="shared" si="10"/>
        <v>0</v>
      </c>
    </row>
    <row r="64" spans="1:19" ht="150" x14ac:dyDescent="0.25">
      <c r="A64" s="12">
        <v>2508</v>
      </c>
      <c r="B64" s="10" t="s">
        <v>45</v>
      </c>
      <c r="C64" s="12">
        <v>903</v>
      </c>
      <c r="D64" s="21" t="s">
        <v>120</v>
      </c>
      <c r="E64" s="10" t="s">
        <v>20</v>
      </c>
      <c r="F64" s="10" t="s">
        <v>121</v>
      </c>
      <c r="G64" s="10" t="s">
        <v>99</v>
      </c>
      <c r="H64" s="10"/>
      <c r="I64" s="10"/>
      <c r="J64" s="10"/>
      <c r="K64" s="10" t="s">
        <v>29</v>
      </c>
      <c r="L64" s="10" t="s">
        <v>122</v>
      </c>
      <c r="M64" s="10" t="s">
        <v>30</v>
      </c>
      <c r="N64" s="39">
        <v>0</v>
      </c>
      <c r="O64" s="39">
        <v>0</v>
      </c>
      <c r="P64" s="39">
        <v>140000</v>
      </c>
      <c r="Q64" s="39">
        <v>0</v>
      </c>
      <c r="R64" s="39">
        <v>0</v>
      </c>
      <c r="S64" s="39">
        <v>0</v>
      </c>
    </row>
    <row r="65" spans="1:19" s="23" customFormat="1" ht="114" x14ac:dyDescent="0.2">
      <c r="A65" s="16">
        <v>2600</v>
      </c>
      <c r="B65" s="261" t="s">
        <v>542</v>
      </c>
      <c r="C65" s="116"/>
      <c r="D65" s="117"/>
      <c r="E65" s="118"/>
      <c r="F65" s="118"/>
      <c r="G65" s="118"/>
      <c r="H65" s="119"/>
      <c r="I65" s="118"/>
      <c r="J65" s="118"/>
      <c r="K65" s="17"/>
      <c r="L65" s="17"/>
      <c r="M65" s="17"/>
      <c r="N65" s="120">
        <f t="shared" ref="N65:S65" si="11">N66+N69+N71</f>
        <v>17463969</v>
      </c>
      <c r="O65" s="120">
        <f t="shared" si="11"/>
        <v>17176361.059999999</v>
      </c>
      <c r="P65" s="120">
        <f t="shared" si="11"/>
        <v>20252493</v>
      </c>
      <c r="Q65" s="120">
        <f t="shared" si="11"/>
        <v>20115493</v>
      </c>
      <c r="R65" s="120">
        <f t="shared" si="11"/>
        <v>19806493</v>
      </c>
      <c r="S65" s="120">
        <f t="shared" si="11"/>
        <v>19806493</v>
      </c>
    </row>
    <row r="66" spans="1:19" ht="45" x14ac:dyDescent="0.25">
      <c r="A66" s="314" t="s">
        <v>531</v>
      </c>
      <c r="B66" s="296" t="s">
        <v>382</v>
      </c>
      <c r="C66" s="316">
        <v>903</v>
      </c>
      <c r="D66" s="298" t="s">
        <v>140</v>
      </c>
      <c r="E66" s="296" t="s">
        <v>20</v>
      </c>
      <c r="F66" s="296" t="s">
        <v>353</v>
      </c>
      <c r="G66" s="294" t="s">
        <v>21</v>
      </c>
      <c r="H66" s="296" t="s">
        <v>24</v>
      </c>
      <c r="I66" s="319" t="s">
        <v>55</v>
      </c>
      <c r="J66" s="294" t="s">
        <v>26</v>
      </c>
      <c r="K66" s="10" t="s">
        <v>29</v>
      </c>
      <c r="L66" s="4"/>
      <c r="M66" s="10" t="s">
        <v>30</v>
      </c>
      <c r="N66" s="307">
        <f>15244853+279914</f>
        <v>15524767</v>
      </c>
      <c r="O66" s="307">
        <v>15237311.449999999</v>
      </c>
      <c r="P66" s="292">
        <v>17730493</v>
      </c>
      <c r="Q66" s="292">
        <v>17593493</v>
      </c>
      <c r="R66" s="307">
        <v>17284493</v>
      </c>
      <c r="S66" s="307">
        <v>17284493</v>
      </c>
    </row>
    <row r="67" spans="1:19" ht="60" x14ac:dyDescent="0.25">
      <c r="A67" s="315"/>
      <c r="B67" s="313"/>
      <c r="C67" s="317"/>
      <c r="D67" s="306"/>
      <c r="E67" s="297"/>
      <c r="F67" s="297"/>
      <c r="G67" s="295"/>
      <c r="H67" s="297"/>
      <c r="I67" s="320"/>
      <c r="J67" s="295"/>
      <c r="K67" s="10" t="s">
        <v>410</v>
      </c>
      <c r="L67" s="10"/>
      <c r="M67" s="10" t="s">
        <v>142</v>
      </c>
      <c r="N67" s="309"/>
      <c r="O67" s="309"/>
      <c r="P67" s="300"/>
      <c r="Q67" s="300"/>
      <c r="R67" s="309"/>
      <c r="S67" s="309"/>
    </row>
    <row r="68" spans="1:19" ht="285" x14ac:dyDescent="0.25">
      <c r="A68" s="315"/>
      <c r="B68" s="313"/>
      <c r="C68" s="317"/>
      <c r="D68" s="306"/>
      <c r="E68" s="144" t="s">
        <v>22</v>
      </c>
      <c r="F68" s="145" t="s">
        <v>55</v>
      </c>
      <c r="G68" s="144" t="s">
        <v>23</v>
      </c>
      <c r="H68" s="194" t="s">
        <v>27</v>
      </c>
      <c r="I68" s="198" t="s">
        <v>55</v>
      </c>
      <c r="J68" s="194" t="s">
        <v>28</v>
      </c>
      <c r="K68" s="10" t="s">
        <v>145</v>
      </c>
      <c r="L68" s="10"/>
      <c r="M68" s="10" t="s">
        <v>146</v>
      </c>
      <c r="N68" s="309"/>
      <c r="O68" s="309"/>
      <c r="P68" s="300"/>
      <c r="Q68" s="300"/>
      <c r="R68" s="309"/>
      <c r="S68" s="309"/>
    </row>
    <row r="69" spans="1:19" ht="45" x14ac:dyDescent="0.25">
      <c r="A69" s="104">
        <v>2604</v>
      </c>
      <c r="B69" s="10" t="s">
        <v>397</v>
      </c>
      <c r="C69" s="294">
        <v>903</v>
      </c>
      <c r="D69" s="298" t="s">
        <v>398</v>
      </c>
      <c r="E69" s="296" t="s">
        <v>20</v>
      </c>
      <c r="F69" s="296" t="s">
        <v>141</v>
      </c>
      <c r="G69" s="296" t="s">
        <v>99</v>
      </c>
      <c r="H69" s="294"/>
      <c r="I69" s="316"/>
      <c r="J69" s="294"/>
      <c r="K69" s="73" t="s">
        <v>29</v>
      </c>
      <c r="L69" s="73" t="s">
        <v>359</v>
      </c>
      <c r="M69" s="73" t="s">
        <v>30</v>
      </c>
      <c r="N69" s="307">
        <v>602</v>
      </c>
      <c r="O69" s="307">
        <v>601.62</v>
      </c>
      <c r="P69" s="307">
        <v>0</v>
      </c>
      <c r="Q69" s="307">
        <v>0</v>
      </c>
      <c r="R69" s="307">
        <v>0</v>
      </c>
      <c r="S69" s="307">
        <v>0</v>
      </c>
    </row>
    <row r="70" spans="1:19" ht="75" x14ac:dyDescent="0.25">
      <c r="A70" s="152"/>
      <c r="B70" s="154"/>
      <c r="C70" s="295"/>
      <c r="D70" s="299"/>
      <c r="E70" s="297"/>
      <c r="F70" s="297"/>
      <c r="G70" s="297"/>
      <c r="H70" s="295"/>
      <c r="I70" s="318"/>
      <c r="J70" s="295"/>
      <c r="K70" s="73" t="s">
        <v>449</v>
      </c>
      <c r="L70" s="73"/>
      <c r="M70" s="73" t="s">
        <v>450</v>
      </c>
      <c r="N70" s="308"/>
      <c r="O70" s="308"/>
      <c r="P70" s="308"/>
      <c r="Q70" s="308"/>
      <c r="R70" s="308"/>
      <c r="S70" s="308"/>
    </row>
    <row r="71" spans="1:19" ht="120" x14ac:dyDescent="0.25">
      <c r="A71" s="94">
        <v>2623</v>
      </c>
      <c r="B71" s="126" t="s">
        <v>361</v>
      </c>
      <c r="C71" s="155">
        <v>903</v>
      </c>
      <c r="D71" s="153" t="s">
        <v>362</v>
      </c>
      <c r="E71" s="154" t="s">
        <v>20</v>
      </c>
      <c r="F71" s="154" t="s">
        <v>363</v>
      </c>
      <c r="G71" s="154" t="s">
        <v>99</v>
      </c>
      <c r="H71" s="154" t="s">
        <v>24</v>
      </c>
      <c r="I71" s="154" t="s">
        <v>312</v>
      </c>
      <c r="J71" s="154" t="s">
        <v>26</v>
      </c>
      <c r="K71" s="10" t="s">
        <v>364</v>
      </c>
      <c r="L71" s="73"/>
      <c r="M71" s="73" t="s">
        <v>451</v>
      </c>
      <c r="N71" s="307">
        <v>1938600</v>
      </c>
      <c r="O71" s="307">
        <v>1938447.99</v>
      </c>
      <c r="P71" s="307">
        <v>2522000</v>
      </c>
      <c r="Q71" s="307">
        <v>2522000</v>
      </c>
      <c r="R71" s="307">
        <v>2522000</v>
      </c>
      <c r="S71" s="307">
        <v>2522000</v>
      </c>
    </row>
    <row r="72" spans="1:19" ht="120" x14ac:dyDescent="0.25">
      <c r="A72" s="152"/>
      <c r="B72" s="154"/>
      <c r="C72" s="152"/>
      <c r="D72" s="153"/>
      <c r="E72" s="154"/>
      <c r="F72" s="154"/>
      <c r="G72" s="154"/>
      <c r="H72" s="122"/>
      <c r="I72" s="156"/>
      <c r="J72" s="154"/>
      <c r="K72" s="73" t="s">
        <v>452</v>
      </c>
      <c r="L72" s="73"/>
      <c r="M72" s="73" t="s">
        <v>453</v>
      </c>
      <c r="N72" s="308"/>
      <c r="O72" s="308"/>
      <c r="P72" s="308"/>
      <c r="Q72" s="308"/>
      <c r="R72" s="308"/>
      <c r="S72" s="308"/>
    </row>
    <row r="73" spans="1:19" s="23" customFormat="1" ht="57" x14ac:dyDescent="0.2">
      <c r="A73" s="33"/>
      <c r="B73" s="32" t="s">
        <v>147</v>
      </c>
      <c r="C73" s="33">
        <v>904</v>
      </c>
      <c r="D73" s="34"/>
      <c r="E73" s="32"/>
      <c r="F73" s="32"/>
      <c r="G73" s="32"/>
      <c r="H73" s="32"/>
      <c r="I73" s="32"/>
      <c r="J73" s="32"/>
      <c r="K73" s="32"/>
      <c r="L73" s="32"/>
      <c r="M73" s="32"/>
      <c r="N73" s="41">
        <f t="shared" ref="N73:S73" si="12">N74</f>
        <v>33548055.129999999</v>
      </c>
      <c r="O73" s="41">
        <f t="shared" si="12"/>
        <v>33385048.710000001</v>
      </c>
      <c r="P73" s="41">
        <f t="shared" si="12"/>
        <v>36175360</v>
      </c>
      <c r="Q73" s="41">
        <f t="shared" si="12"/>
        <v>35070663</v>
      </c>
      <c r="R73" s="41">
        <f t="shared" si="12"/>
        <v>34841308</v>
      </c>
      <c r="S73" s="41">
        <f t="shared" si="12"/>
        <v>34841308</v>
      </c>
    </row>
    <row r="74" spans="1:19" s="23" customFormat="1" ht="57" x14ac:dyDescent="0.2">
      <c r="A74" s="111">
        <v>2500</v>
      </c>
      <c r="B74" s="115" t="s">
        <v>541</v>
      </c>
      <c r="C74" s="16">
        <v>904</v>
      </c>
      <c r="D74" s="26"/>
      <c r="E74" s="17"/>
      <c r="F74" s="17"/>
      <c r="G74" s="17"/>
      <c r="H74" s="17"/>
      <c r="I74" s="17"/>
      <c r="J74" s="17"/>
      <c r="K74" s="17"/>
      <c r="L74" s="17"/>
      <c r="M74" s="17"/>
      <c r="N74" s="40">
        <f t="shared" ref="N74:S74" si="13">N75+N78</f>
        <v>33548055.129999999</v>
      </c>
      <c r="O74" s="40">
        <f t="shared" si="13"/>
        <v>33385048.710000001</v>
      </c>
      <c r="P74" s="40">
        <f t="shared" si="13"/>
        <v>36175360</v>
      </c>
      <c r="Q74" s="40">
        <f t="shared" si="13"/>
        <v>35070663</v>
      </c>
      <c r="R74" s="40">
        <f t="shared" si="13"/>
        <v>34841308</v>
      </c>
      <c r="S74" s="40">
        <f t="shared" si="13"/>
        <v>34841308</v>
      </c>
    </row>
    <row r="75" spans="1:19" ht="135" x14ac:dyDescent="0.25">
      <c r="A75" s="294">
        <v>2517</v>
      </c>
      <c r="B75" s="296" t="s">
        <v>148</v>
      </c>
      <c r="C75" s="294">
        <v>904</v>
      </c>
      <c r="D75" s="298" t="s">
        <v>150</v>
      </c>
      <c r="E75" s="10" t="s">
        <v>149</v>
      </c>
      <c r="F75" s="10" t="s">
        <v>151</v>
      </c>
      <c r="G75" s="10" t="s">
        <v>152</v>
      </c>
      <c r="H75" s="10" t="s">
        <v>153</v>
      </c>
      <c r="I75" s="10" t="s">
        <v>53</v>
      </c>
      <c r="J75" s="10" t="s">
        <v>154</v>
      </c>
      <c r="K75" s="10" t="s">
        <v>158</v>
      </c>
      <c r="L75" s="10"/>
      <c r="M75" s="10" t="s">
        <v>159</v>
      </c>
      <c r="N75" s="292">
        <f>33548055.13-349301.2</f>
        <v>33198753.93</v>
      </c>
      <c r="O75" s="307">
        <f>33385048.71-349301.2</f>
        <v>33035747.510000002</v>
      </c>
      <c r="P75" s="53">
        <f>36175360-P78</f>
        <v>35545360</v>
      </c>
      <c r="Q75" s="53">
        <f>35070663-Q78</f>
        <v>34440663</v>
      </c>
      <c r="R75" s="307">
        <f>34841308-R78</f>
        <v>34211308</v>
      </c>
      <c r="S75" s="307">
        <f>R75</f>
        <v>34211308</v>
      </c>
    </row>
    <row r="76" spans="1:19" ht="285" x14ac:dyDescent="0.25">
      <c r="A76" s="305"/>
      <c r="B76" s="313"/>
      <c r="C76" s="305"/>
      <c r="D76" s="306"/>
      <c r="E76" s="10"/>
      <c r="F76" s="10"/>
      <c r="G76" s="10"/>
      <c r="H76" s="10" t="s">
        <v>155</v>
      </c>
      <c r="I76" s="10" t="s">
        <v>156</v>
      </c>
      <c r="J76" s="10" t="s">
        <v>157</v>
      </c>
      <c r="K76" s="10" t="s">
        <v>160</v>
      </c>
      <c r="L76" s="10"/>
      <c r="M76" s="18">
        <v>40961</v>
      </c>
      <c r="N76" s="300"/>
      <c r="O76" s="309"/>
      <c r="P76" s="54"/>
      <c r="Q76" s="54"/>
      <c r="R76" s="309"/>
      <c r="S76" s="309"/>
    </row>
    <row r="77" spans="1:19" ht="105" x14ac:dyDescent="0.25">
      <c r="A77" s="305"/>
      <c r="B77" s="313"/>
      <c r="C77" s="305"/>
      <c r="D77" s="306"/>
      <c r="E77" s="10"/>
      <c r="F77" s="10"/>
      <c r="G77" s="10"/>
      <c r="H77" s="10"/>
      <c r="I77" s="10"/>
      <c r="J77" s="10"/>
      <c r="K77" s="10" t="s">
        <v>161</v>
      </c>
      <c r="L77" s="10"/>
      <c r="M77" s="18">
        <v>41241</v>
      </c>
      <c r="N77" s="300"/>
      <c r="O77" s="309"/>
      <c r="P77" s="54"/>
      <c r="Q77" s="54"/>
      <c r="R77" s="309"/>
      <c r="S77" s="309"/>
    </row>
    <row r="78" spans="1:19" ht="45" x14ac:dyDescent="0.25">
      <c r="A78" s="294">
        <v>2520</v>
      </c>
      <c r="B78" s="296" t="s">
        <v>162</v>
      </c>
      <c r="C78" s="294">
        <v>904</v>
      </c>
      <c r="D78" s="298" t="s">
        <v>150</v>
      </c>
      <c r="E78" s="10" t="s">
        <v>163</v>
      </c>
      <c r="F78" s="10" t="s">
        <v>166</v>
      </c>
      <c r="G78" s="10" t="s">
        <v>164</v>
      </c>
      <c r="H78" s="294"/>
      <c r="I78" s="294"/>
      <c r="J78" s="294"/>
      <c r="K78" s="10" t="s">
        <v>29</v>
      </c>
      <c r="L78" s="10" t="s">
        <v>167</v>
      </c>
      <c r="M78" s="10" t="s">
        <v>30</v>
      </c>
      <c r="N78" s="292">
        <v>349301.2</v>
      </c>
      <c r="O78" s="292">
        <v>349301.2</v>
      </c>
      <c r="P78" s="50">
        <v>630000</v>
      </c>
      <c r="Q78" s="50">
        <v>630000</v>
      </c>
      <c r="R78" s="292">
        <v>630000</v>
      </c>
      <c r="S78" s="292">
        <v>630000</v>
      </c>
    </row>
    <row r="79" spans="1:19" ht="120" x14ac:dyDescent="0.25">
      <c r="A79" s="305"/>
      <c r="B79" s="313"/>
      <c r="C79" s="305"/>
      <c r="D79" s="306"/>
      <c r="E79" s="10" t="s">
        <v>20</v>
      </c>
      <c r="F79" s="10" t="s">
        <v>165</v>
      </c>
      <c r="G79" s="10" t="s">
        <v>99</v>
      </c>
      <c r="H79" s="305"/>
      <c r="I79" s="305"/>
      <c r="J79" s="305"/>
      <c r="K79" s="10" t="s">
        <v>520</v>
      </c>
      <c r="L79" s="10"/>
      <c r="M79" s="27" t="s">
        <v>521</v>
      </c>
      <c r="N79" s="300"/>
      <c r="O79" s="300"/>
      <c r="P79" s="52"/>
      <c r="Q79" s="52"/>
      <c r="R79" s="300"/>
      <c r="S79" s="300"/>
    </row>
    <row r="80" spans="1:19" ht="90" x14ac:dyDescent="0.25">
      <c r="A80" s="131"/>
      <c r="B80" s="132"/>
      <c r="C80" s="131"/>
      <c r="D80" s="133"/>
      <c r="E80" s="10"/>
      <c r="F80" s="10"/>
      <c r="G80" s="10"/>
      <c r="H80" s="131"/>
      <c r="I80" s="131"/>
      <c r="J80" s="131"/>
      <c r="K80" s="10" t="s">
        <v>425</v>
      </c>
      <c r="L80" s="10"/>
      <c r="M80" s="10" t="s">
        <v>426</v>
      </c>
      <c r="N80" s="134"/>
      <c r="O80" s="134"/>
      <c r="P80" s="134"/>
      <c r="Q80" s="134"/>
      <c r="R80" s="134"/>
      <c r="S80" s="134"/>
    </row>
    <row r="81" spans="1:19" s="23" customFormat="1" ht="28.5" x14ac:dyDescent="0.2">
      <c r="A81" s="33"/>
      <c r="B81" s="32" t="s">
        <v>168</v>
      </c>
      <c r="C81" s="33">
        <v>906</v>
      </c>
      <c r="D81" s="34"/>
      <c r="E81" s="32"/>
      <c r="F81" s="32"/>
      <c r="G81" s="32"/>
      <c r="H81" s="32"/>
      <c r="I81" s="32"/>
      <c r="J81" s="32"/>
      <c r="K81" s="32"/>
      <c r="L81" s="32"/>
      <c r="M81" s="32"/>
      <c r="N81" s="42">
        <f t="shared" ref="N81:S81" si="14">N82+N101+N97+N110</f>
        <v>1473355675</v>
      </c>
      <c r="O81" s="42">
        <f t="shared" si="14"/>
        <v>1464971109</v>
      </c>
      <c r="P81" s="42">
        <f>P82+P101+P97+P110</f>
        <v>1601753212</v>
      </c>
      <c r="Q81" s="42">
        <f t="shared" si="14"/>
        <v>1591713118</v>
      </c>
      <c r="R81" s="42">
        <f t="shared" si="14"/>
        <v>1540370806</v>
      </c>
      <c r="S81" s="42">
        <f t="shared" si="14"/>
        <v>1540370806</v>
      </c>
    </row>
    <row r="82" spans="1:19" s="23" customFormat="1" ht="57" x14ac:dyDescent="0.2">
      <c r="A82" s="112">
        <v>2500</v>
      </c>
      <c r="B82" s="121" t="s">
        <v>541</v>
      </c>
      <c r="C82" s="24"/>
      <c r="D82" s="26"/>
      <c r="E82" s="17"/>
      <c r="F82" s="17"/>
      <c r="G82" s="17"/>
      <c r="H82" s="17"/>
      <c r="I82" s="17"/>
      <c r="J82" s="17"/>
      <c r="K82" s="17"/>
      <c r="L82" s="17"/>
      <c r="M82" s="17"/>
      <c r="N82" s="43">
        <f t="shared" ref="N82:S82" si="15">N83+N95</f>
        <v>496764695</v>
      </c>
      <c r="O82" s="43">
        <f t="shared" si="15"/>
        <v>494914718.25</v>
      </c>
      <c r="P82" s="43">
        <f t="shared" si="15"/>
        <v>499728479</v>
      </c>
      <c r="Q82" s="43">
        <f t="shared" si="15"/>
        <v>491426485</v>
      </c>
      <c r="R82" s="43">
        <f t="shared" si="15"/>
        <v>482494073</v>
      </c>
      <c r="S82" s="43">
        <f t="shared" si="15"/>
        <v>482494073</v>
      </c>
    </row>
    <row r="83" spans="1:19" ht="195" x14ac:dyDescent="0.25">
      <c r="A83" s="305" t="s">
        <v>533</v>
      </c>
      <c r="B83" s="313" t="s">
        <v>169</v>
      </c>
      <c r="C83" s="305">
        <v>906</v>
      </c>
      <c r="D83" s="306" t="s">
        <v>170</v>
      </c>
      <c r="E83" s="103" t="s">
        <v>20</v>
      </c>
      <c r="F83" s="103" t="s">
        <v>171</v>
      </c>
      <c r="G83" s="103" t="s">
        <v>99</v>
      </c>
      <c r="H83" s="103" t="s">
        <v>172</v>
      </c>
      <c r="I83" s="10" t="s">
        <v>127</v>
      </c>
      <c r="J83" s="10" t="s">
        <v>173</v>
      </c>
      <c r="K83" s="10" t="s">
        <v>430</v>
      </c>
      <c r="L83" s="10"/>
      <c r="M83" s="10" t="s">
        <v>431</v>
      </c>
      <c r="N83" s="292">
        <f>526088870-47453980-7106493-22217682</f>
        <v>449310715</v>
      </c>
      <c r="O83" s="292">
        <f>521297567.75-6856697.1-47329923.81-19526152.4</f>
        <v>447584794.44</v>
      </c>
      <c r="P83" s="50">
        <f>511029311-61599100</f>
        <v>449430211</v>
      </c>
      <c r="Q83" s="50">
        <f>500989217-59861000</f>
        <v>441128217</v>
      </c>
      <c r="R83" s="292">
        <f>449646905-17451100</f>
        <v>432195805</v>
      </c>
      <c r="S83" s="292">
        <v>432195805</v>
      </c>
    </row>
    <row r="84" spans="1:19" ht="60" x14ac:dyDescent="0.25">
      <c r="A84" s="305"/>
      <c r="B84" s="313"/>
      <c r="C84" s="305"/>
      <c r="D84" s="306"/>
      <c r="E84" s="10"/>
      <c r="F84" s="10"/>
      <c r="G84" s="10"/>
      <c r="H84" s="10" t="s">
        <v>174</v>
      </c>
      <c r="I84" s="10" t="s">
        <v>55</v>
      </c>
      <c r="J84" s="10" t="s">
        <v>175</v>
      </c>
      <c r="K84" s="10" t="s">
        <v>29</v>
      </c>
      <c r="L84" s="10" t="s">
        <v>176</v>
      </c>
      <c r="M84" s="10" t="s">
        <v>30</v>
      </c>
      <c r="N84" s="300"/>
      <c r="O84" s="300"/>
      <c r="P84" s="52"/>
      <c r="Q84" s="52"/>
      <c r="R84" s="300"/>
      <c r="S84" s="300"/>
    </row>
    <row r="85" spans="1:19" ht="90" x14ac:dyDescent="0.25">
      <c r="A85" s="305"/>
      <c r="B85" s="313"/>
      <c r="C85" s="305"/>
      <c r="D85" s="306"/>
      <c r="E85" s="10"/>
      <c r="F85" s="10"/>
      <c r="G85" s="10"/>
      <c r="H85" s="10"/>
      <c r="I85" s="10"/>
      <c r="J85" s="10"/>
      <c r="K85" s="10" t="s">
        <v>179</v>
      </c>
      <c r="L85" s="10"/>
      <c r="M85" s="10" t="s">
        <v>180</v>
      </c>
      <c r="N85" s="300"/>
      <c r="O85" s="300"/>
      <c r="P85" s="52"/>
      <c r="Q85" s="52"/>
      <c r="R85" s="300"/>
      <c r="S85" s="300"/>
    </row>
    <row r="86" spans="1:19" ht="135" x14ac:dyDescent="0.25">
      <c r="A86" s="305"/>
      <c r="B86" s="313"/>
      <c r="C86" s="305"/>
      <c r="D86" s="306"/>
      <c r="E86" s="10"/>
      <c r="F86" s="10"/>
      <c r="G86" s="10"/>
      <c r="H86" s="10"/>
      <c r="I86" s="10"/>
      <c r="J86" s="10"/>
      <c r="K86" s="10" t="s">
        <v>177</v>
      </c>
      <c r="L86" s="10"/>
      <c r="M86" s="10" t="s">
        <v>178</v>
      </c>
      <c r="N86" s="300"/>
      <c r="O86" s="300"/>
      <c r="P86" s="52"/>
      <c r="Q86" s="52"/>
      <c r="R86" s="300"/>
      <c r="S86" s="300"/>
    </row>
    <row r="87" spans="1:19" ht="285" x14ac:dyDescent="0.25">
      <c r="A87" s="305"/>
      <c r="B87" s="313"/>
      <c r="C87" s="305"/>
      <c r="D87" s="306"/>
      <c r="E87" s="10"/>
      <c r="F87" s="10"/>
      <c r="G87" s="10"/>
      <c r="H87" s="10"/>
      <c r="I87" s="10"/>
      <c r="J87" s="10"/>
      <c r="K87" s="10" t="s">
        <v>366</v>
      </c>
      <c r="L87" s="10"/>
      <c r="M87" s="10" t="s">
        <v>367</v>
      </c>
      <c r="N87" s="300"/>
      <c r="O87" s="300"/>
      <c r="P87" s="52"/>
      <c r="Q87" s="52"/>
      <c r="R87" s="300"/>
      <c r="S87" s="300"/>
    </row>
    <row r="88" spans="1:19" ht="105" x14ac:dyDescent="0.25">
      <c r="A88" s="165"/>
      <c r="B88" s="160"/>
      <c r="C88" s="165"/>
      <c r="D88" s="161"/>
      <c r="E88" s="10"/>
      <c r="F88" s="10"/>
      <c r="G88" s="10"/>
      <c r="H88" s="10"/>
      <c r="I88" s="10"/>
      <c r="J88" s="10"/>
      <c r="K88" s="226" t="s">
        <v>465</v>
      </c>
      <c r="L88" s="27"/>
      <c r="M88" s="27" t="s">
        <v>471</v>
      </c>
      <c r="N88" s="164"/>
      <c r="O88" s="164"/>
      <c r="P88" s="164"/>
      <c r="Q88" s="164"/>
      <c r="R88" s="164"/>
      <c r="S88" s="164"/>
    </row>
    <row r="89" spans="1:19" ht="165" x14ac:dyDescent="0.25">
      <c r="A89" s="203"/>
      <c r="B89" s="201"/>
      <c r="C89" s="203"/>
      <c r="D89" s="202"/>
      <c r="E89" s="10"/>
      <c r="F89" s="10"/>
      <c r="G89" s="10"/>
      <c r="H89" s="10"/>
      <c r="I89" s="10"/>
      <c r="J89" s="10"/>
      <c r="K89" s="27" t="s">
        <v>495</v>
      </c>
      <c r="L89" s="27"/>
      <c r="M89" s="27" t="s">
        <v>496</v>
      </c>
      <c r="N89" s="204"/>
      <c r="O89" s="204"/>
      <c r="P89" s="204"/>
      <c r="Q89" s="204"/>
      <c r="R89" s="204"/>
      <c r="S89" s="204"/>
    </row>
    <row r="90" spans="1:19" ht="150" x14ac:dyDescent="0.25">
      <c r="A90" s="177"/>
      <c r="B90" s="179"/>
      <c r="C90" s="177"/>
      <c r="D90" s="178"/>
      <c r="E90" s="10"/>
      <c r="F90" s="10"/>
      <c r="G90" s="10"/>
      <c r="H90" s="10"/>
      <c r="I90" s="10"/>
      <c r="J90" s="10"/>
      <c r="K90" s="226" t="s">
        <v>479</v>
      </c>
      <c r="L90" s="27"/>
      <c r="M90" s="27" t="s">
        <v>480</v>
      </c>
      <c r="N90" s="176"/>
      <c r="O90" s="176"/>
      <c r="P90" s="176"/>
      <c r="Q90" s="176"/>
      <c r="R90" s="176"/>
      <c r="S90" s="176"/>
    </row>
    <row r="91" spans="1:19" ht="255" x14ac:dyDescent="0.25">
      <c r="A91" s="181"/>
      <c r="B91" s="183"/>
      <c r="C91" s="181"/>
      <c r="D91" s="182"/>
      <c r="E91" s="10"/>
      <c r="F91" s="10"/>
      <c r="G91" s="10"/>
      <c r="H91" s="10"/>
      <c r="I91" s="10"/>
      <c r="J91" s="10"/>
      <c r="K91" s="219" t="s">
        <v>481</v>
      </c>
      <c r="L91" s="185"/>
      <c r="M91" s="185" t="s">
        <v>484</v>
      </c>
      <c r="N91" s="180"/>
      <c r="O91" s="180"/>
      <c r="P91" s="180"/>
      <c r="Q91" s="180"/>
      <c r="R91" s="180"/>
      <c r="S91" s="180"/>
    </row>
    <row r="92" spans="1:19" ht="135" x14ac:dyDescent="0.25">
      <c r="A92" s="181"/>
      <c r="B92" s="183"/>
      <c r="C92" s="181"/>
      <c r="D92" s="182"/>
      <c r="E92" s="10"/>
      <c r="F92" s="10"/>
      <c r="G92" s="10"/>
      <c r="H92" s="10"/>
      <c r="I92" s="10"/>
      <c r="J92" s="10"/>
      <c r="K92" s="219" t="s">
        <v>482</v>
      </c>
      <c r="L92" s="184"/>
      <c r="M92" s="10" t="s">
        <v>483</v>
      </c>
      <c r="N92" s="180"/>
      <c r="O92" s="180"/>
      <c r="P92" s="180"/>
      <c r="Q92" s="180"/>
      <c r="R92" s="180"/>
      <c r="S92" s="180"/>
    </row>
    <row r="93" spans="1:19" ht="150" x14ac:dyDescent="0.25">
      <c r="A93" s="139"/>
      <c r="B93" s="141"/>
      <c r="C93" s="138"/>
      <c r="D93" s="140"/>
      <c r="E93" s="10"/>
      <c r="F93" s="10"/>
      <c r="G93" s="10"/>
      <c r="H93" s="10"/>
      <c r="I93" s="10"/>
      <c r="J93" s="10"/>
      <c r="K93" s="220" t="s">
        <v>435</v>
      </c>
      <c r="L93" s="10"/>
      <c r="M93" s="10" t="s">
        <v>436</v>
      </c>
      <c r="N93" s="137"/>
      <c r="O93" s="137"/>
      <c r="P93" s="137"/>
      <c r="Q93" s="137"/>
      <c r="R93" s="137"/>
      <c r="S93" s="137"/>
    </row>
    <row r="94" spans="1:19" ht="409.5" x14ac:dyDescent="0.25">
      <c r="A94" s="209"/>
      <c r="B94" s="210"/>
      <c r="C94" s="207"/>
      <c r="D94" s="208"/>
      <c r="E94" s="10"/>
      <c r="F94" s="10"/>
      <c r="G94" s="10"/>
      <c r="H94" s="10"/>
      <c r="I94" s="10"/>
      <c r="J94" s="10"/>
      <c r="K94" s="220" t="s">
        <v>497</v>
      </c>
      <c r="L94" s="10"/>
      <c r="M94" s="10" t="s">
        <v>498</v>
      </c>
      <c r="N94" s="206"/>
      <c r="O94" s="206"/>
      <c r="P94" s="206"/>
      <c r="Q94" s="206"/>
      <c r="R94" s="206"/>
      <c r="S94" s="206"/>
    </row>
    <row r="95" spans="1:19" ht="90" x14ac:dyDescent="0.25">
      <c r="A95" s="259">
        <v>2527</v>
      </c>
      <c r="B95" s="285" t="s">
        <v>540</v>
      </c>
      <c r="C95" s="125">
        <v>906</v>
      </c>
      <c r="D95" s="257" t="s">
        <v>209</v>
      </c>
      <c r="E95" s="81" t="s">
        <v>20</v>
      </c>
      <c r="F95" s="10" t="s">
        <v>354</v>
      </c>
      <c r="G95" s="10" t="s">
        <v>21</v>
      </c>
      <c r="H95" s="10"/>
      <c r="I95" s="10"/>
      <c r="J95" s="10"/>
      <c r="K95" s="10" t="s">
        <v>29</v>
      </c>
      <c r="L95" s="10"/>
      <c r="M95" s="10" t="s">
        <v>30</v>
      </c>
      <c r="N95" s="292">
        <v>47453980</v>
      </c>
      <c r="O95" s="292">
        <v>47329923.810000002</v>
      </c>
      <c r="P95" s="292">
        <v>50298268</v>
      </c>
      <c r="Q95" s="292">
        <v>50298268</v>
      </c>
      <c r="R95" s="292">
        <v>50298268</v>
      </c>
      <c r="S95" s="292">
        <v>50298268</v>
      </c>
    </row>
    <row r="96" spans="1:19" ht="105" x14ac:dyDescent="0.25">
      <c r="A96" s="260"/>
      <c r="B96" s="286"/>
      <c r="C96" s="108"/>
      <c r="D96" s="258"/>
      <c r="E96" s="81"/>
      <c r="F96" s="10"/>
      <c r="G96" s="10"/>
      <c r="H96" s="10"/>
      <c r="I96" s="10"/>
      <c r="J96" s="10"/>
      <c r="K96" s="10" t="s">
        <v>411</v>
      </c>
      <c r="L96" s="10"/>
      <c r="M96" s="10" t="s">
        <v>412</v>
      </c>
      <c r="N96" s="293"/>
      <c r="O96" s="293"/>
      <c r="P96" s="293"/>
      <c r="Q96" s="293"/>
      <c r="R96" s="293"/>
      <c r="S96" s="293"/>
    </row>
    <row r="97" spans="1:19" s="23" customFormat="1" ht="114" x14ac:dyDescent="0.2">
      <c r="A97" s="16">
        <v>2600</v>
      </c>
      <c r="B97" s="261" t="s">
        <v>542</v>
      </c>
      <c r="C97" s="78"/>
      <c r="D97" s="79"/>
      <c r="E97" s="17"/>
      <c r="F97" s="17"/>
      <c r="G97" s="17"/>
      <c r="H97" s="17"/>
      <c r="I97" s="17"/>
      <c r="J97" s="17"/>
      <c r="K97" s="17"/>
      <c r="L97" s="17"/>
      <c r="M97" s="17"/>
      <c r="N97" s="43">
        <f t="shared" ref="N97:S97" si="16">N98+N100</f>
        <v>29324175</v>
      </c>
      <c r="O97" s="43">
        <f t="shared" si="16"/>
        <v>26382849.5</v>
      </c>
      <c r="P97" s="43">
        <f t="shared" si="16"/>
        <v>69754833</v>
      </c>
      <c r="Q97" s="43">
        <f t="shared" si="16"/>
        <v>68016733</v>
      </c>
      <c r="R97" s="43">
        <f t="shared" si="16"/>
        <v>25606833</v>
      </c>
      <c r="S97" s="43">
        <f t="shared" si="16"/>
        <v>25606833</v>
      </c>
    </row>
    <row r="98" spans="1:19" ht="105" x14ac:dyDescent="0.25">
      <c r="A98" s="80" t="s">
        <v>531</v>
      </c>
      <c r="B98" s="109" t="s">
        <v>382</v>
      </c>
      <c r="C98" s="107">
        <v>906</v>
      </c>
      <c r="D98" s="101" t="s">
        <v>209</v>
      </c>
      <c r="E98" s="81" t="s">
        <v>20</v>
      </c>
      <c r="F98" s="10" t="s">
        <v>353</v>
      </c>
      <c r="G98" s="10" t="s">
        <v>21</v>
      </c>
      <c r="H98" s="10" t="s">
        <v>24</v>
      </c>
      <c r="I98" s="10" t="s">
        <v>55</v>
      </c>
      <c r="J98" s="10" t="s">
        <v>26</v>
      </c>
      <c r="K98" s="10" t="s">
        <v>29</v>
      </c>
      <c r="L98" s="10"/>
      <c r="M98" s="10" t="s">
        <v>30</v>
      </c>
      <c r="N98" s="292">
        <v>7106493</v>
      </c>
      <c r="O98" s="292">
        <v>6856697.0999999996</v>
      </c>
      <c r="P98" s="292">
        <v>8155733</v>
      </c>
      <c r="Q98" s="292">
        <v>8155733</v>
      </c>
      <c r="R98" s="292">
        <v>8155733</v>
      </c>
      <c r="S98" s="292">
        <v>8155733</v>
      </c>
    </row>
    <row r="99" spans="1:19" ht="285" x14ac:dyDescent="0.25">
      <c r="A99" s="93"/>
      <c r="B99" s="110"/>
      <c r="C99" s="94"/>
      <c r="D99" s="102"/>
      <c r="E99" s="81" t="s">
        <v>22</v>
      </c>
      <c r="F99" s="10" t="s">
        <v>55</v>
      </c>
      <c r="G99" s="10" t="s">
        <v>23</v>
      </c>
      <c r="H99" s="10" t="s">
        <v>27</v>
      </c>
      <c r="I99" s="11" t="s">
        <v>55</v>
      </c>
      <c r="J99" s="10" t="s">
        <v>28</v>
      </c>
      <c r="K99" s="10" t="s">
        <v>179</v>
      </c>
      <c r="L99" s="4"/>
      <c r="M99" s="10" t="s">
        <v>180</v>
      </c>
      <c r="N99" s="293"/>
      <c r="O99" s="293"/>
      <c r="P99" s="293"/>
      <c r="Q99" s="293"/>
      <c r="R99" s="293"/>
      <c r="S99" s="293"/>
    </row>
    <row r="100" spans="1:19" ht="409.5" x14ac:dyDescent="0.25">
      <c r="A100" s="12">
        <v>2624</v>
      </c>
      <c r="B100" s="10" t="s">
        <v>461</v>
      </c>
      <c r="C100" s="12">
        <v>906</v>
      </c>
      <c r="D100" s="21" t="s">
        <v>181</v>
      </c>
      <c r="E100" s="10" t="s">
        <v>69</v>
      </c>
      <c r="F100" s="10" t="s">
        <v>188</v>
      </c>
      <c r="G100" s="10" t="s">
        <v>71</v>
      </c>
      <c r="H100" s="10" t="s">
        <v>486</v>
      </c>
      <c r="I100" s="10" t="s">
        <v>224</v>
      </c>
      <c r="J100" s="10" t="s">
        <v>487</v>
      </c>
      <c r="K100" s="225" t="s">
        <v>488</v>
      </c>
      <c r="L100" s="4"/>
      <c r="M100" s="166" t="s">
        <v>489</v>
      </c>
      <c r="N100" s="241">
        <v>22217682</v>
      </c>
      <c r="O100" s="241">
        <v>19526152.399999999</v>
      </c>
      <c r="P100" s="241">
        <v>61599100</v>
      </c>
      <c r="Q100" s="241">
        <v>59861000</v>
      </c>
      <c r="R100" s="241">
        <v>17451100</v>
      </c>
      <c r="S100" s="241">
        <v>17451100</v>
      </c>
    </row>
    <row r="101" spans="1:19" s="23" customFormat="1" ht="156.75" x14ac:dyDescent="0.2">
      <c r="A101" s="16">
        <v>3200</v>
      </c>
      <c r="B101" s="17" t="s">
        <v>416</v>
      </c>
      <c r="C101" s="24"/>
      <c r="D101" s="26"/>
      <c r="E101" s="17"/>
      <c r="F101" s="17"/>
      <c r="G101" s="17"/>
      <c r="H101" s="17"/>
      <c r="I101" s="17"/>
      <c r="J101" s="17"/>
      <c r="K101" s="17"/>
      <c r="L101" s="17"/>
      <c r="M101" s="17"/>
      <c r="N101" s="43">
        <f t="shared" ref="N101:S101" si="17">SUM(N102:N109)</f>
        <v>46985400</v>
      </c>
      <c r="O101" s="43">
        <f t="shared" si="17"/>
        <v>43480804.030000001</v>
      </c>
      <c r="P101" s="43">
        <f t="shared" si="17"/>
        <v>78647400</v>
      </c>
      <c r="Q101" s="43">
        <f t="shared" si="17"/>
        <v>78647400</v>
      </c>
      <c r="R101" s="43">
        <f t="shared" si="17"/>
        <v>78647400</v>
      </c>
      <c r="S101" s="43">
        <f t="shared" si="17"/>
        <v>78647400</v>
      </c>
    </row>
    <row r="102" spans="1:19" ht="270" x14ac:dyDescent="0.25">
      <c r="A102" s="12">
        <v>3237</v>
      </c>
      <c r="B102" s="10" t="s">
        <v>187</v>
      </c>
      <c r="C102" s="12">
        <v>906</v>
      </c>
      <c r="D102" s="21" t="s">
        <v>181</v>
      </c>
      <c r="E102" s="10" t="s">
        <v>69</v>
      </c>
      <c r="F102" s="10" t="s">
        <v>188</v>
      </c>
      <c r="G102" s="10" t="s">
        <v>71</v>
      </c>
      <c r="H102" s="10" t="s">
        <v>189</v>
      </c>
      <c r="I102" s="10" t="s">
        <v>190</v>
      </c>
      <c r="J102" s="10" t="s">
        <v>191</v>
      </c>
      <c r="K102" s="10" t="s">
        <v>192</v>
      </c>
      <c r="L102" s="10"/>
      <c r="M102" s="10" t="s">
        <v>193</v>
      </c>
      <c r="N102" s="39">
        <v>32141500</v>
      </c>
      <c r="O102" s="39">
        <v>29146163.579999998</v>
      </c>
      <c r="P102" s="39">
        <v>38343600</v>
      </c>
      <c r="Q102" s="39">
        <v>38343600</v>
      </c>
      <c r="R102" s="39">
        <v>38343600</v>
      </c>
      <c r="S102" s="39">
        <v>38343600</v>
      </c>
    </row>
    <row r="103" spans="1:19" ht="90" x14ac:dyDescent="0.25">
      <c r="A103" s="12"/>
      <c r="B103" s="10"/>
      <c r="C103" s="12"/>
      <c r="D103" s="21"/>
      <c r="E103" s="10"/>
      <c r="F103" s="10"/>
      <c r="G103" s="10"/>
      <c r="H103" s="10"/>
      <c r="I103" s="10"/>
      <c r="J103" s="10"/>
      <c r="K103" s="6" t="s">
        <v>432</v>
      </c>
      <c r="L103" s="4"/>
      <c r="M103" s="9" t="s">
        <v>433</v>
      </c>
      <c r="N103" s="162"/>
      <c r="O103" s="162"/>
      <c r="P103" s="162"/>
      <c r="Q103" s="162"/>
      <c r="R103" s="162"/>
      <c r="S103" s="162"/>
    </row>
    <row r="104" spans="1:19" ht="195" x14ac:dyDescent="0.25">
      <c r="A104" s="12"/>
      <c r="B104" s="10"/>
      <c r="C104" s="12"/>
      <c r="D104" s="21"/>
      <c r="E104" s="10"/>
      <c r="F104" s="10"/>
      <c r="G104" s="10"/>
      <c r="H104" s="10"/>
      <c r="I104" s="10"/>
      <c r="J104" s="10"/>
      <c r="K104" s="225" t="s">
        <v>462</v>
      </c>
      <c r="L104" s="4"/>
      <c r="M104" s="166" t="s">
        <v>463</v>
      </c>
      <c r="N104" s="193"/>
      <c r="O104" s="193"/>
      <c r="P104" s="193"/>
      <c r="Q104" s="193"/>
      <c r="R104" s="193"/>
      <c r="S104" s="193"/>
    </row>
    <row r="105" spans="1:19" ht="195" x14ac:dyDescent="0.25">
      <c r="A105" s="12"/>
      <c r="B105" s="10"/>
      <c r="C105" s="12"/>
      <c r="D105" s="21"/>
      <c r="E105" s="10"/>
      <c r="F105" s="10"/>
      <c r="G105" s="10"/>
      <c r="H105" s="10"/>
      <c r="I105" s="10"/>
      <c r="J105" s="10"/>
      <c r="K105" s="225" t="s">
        <v>464</v>
      </c>
      <c r="L105" s="4"/>
      <c r="M105" s="166" t="s">
        <v>463</v>
      </c>
      <c r="N105" s="193"/>
      <c r="O105" s="193"/>
      <c r="P105" s="193"/>
      <c r="Q105" s="193"/>
      <c r="R105" s="193"/>
      <c r="S105" s="193"/>
    </row>
    <row r="106" spans="1:19" ht="409.5" x14ac:dyDescent="0.25">
      <c r="A106" s="12">
        <v>3236</v>
      </c>
      <c r="B106" s="10" t="s">
        <v>194</v>
      </c>
      <c r="C106" s="12">
        <v>906</v>
      </c>
      <c r="D106" s="21" t="s">
        <v>206</v>
      </c>
      <c r="E106" s="10" t="s">
        <v>69</v>
      </c>
      <c r="F106" s="10" t="s">
        <v>195</v>
      </c>
      <c r="G106" s="10" t="s">
        <v>71</v>
      </c>
      <c r="H106" s="10" t="s">
        <v>196</v>
      </c>
      <c r="I106" s="10" t="s">
        <v>190</v>
      </c>
      <c r="J106" s="10" t="s">
        <v>197</v>
      </c>
      <c r="K106" s="10" t="s">
        <v>198</v>
      </c>
      <c r="L106" s="10"/>
      <c r="M106" s="10" t="s">
        <v>199</v>
      </c>
      <c r="N106" s="163">
        <v>1429000</v>
      </c>
      <c r="O106" s="163">
        <v>1263881.1599999999</v>
      </c>
      <c r="P106" s="163">
        <v>3177600</v>
      </c>
      <c r="Q106" s="163">
        <v>3177600</v>
      </c>
      <c r="R106" s="163">
        <v>3177600</v>
      </c>
      <c r="S106" s="163">
        <v>3177600</v>
      </c>
    </row>
    <row r="107" spans="1:19" ht="300" x14ac:dyDescent="0.25">
      <c r="A107" s="195">
        <v>3237</v>
      </c>
      <c r="B107" s="194" t="s">
        <v>200</v>
      </c>
      <c r="C107" s="195">
        <v>906</v>
      </c>
      <c r="D107" s="197" t="s">
        <v>131</v>
      </c>
      <c r="E107" s="194" t="s">
        <v>69</v>
      </c>
      <c r="F107" s="194" t="s">
        <v>201</v>
      </c>
      <c r="G107" s="194" t="s">
        <v>71</v>
      </c>
      <c r="H107" s="194" t="s">
        <v>202</v>
      </c>
      <c r="I107" s="194" t="s">
        <v>55</v>
      </c>
      <c r="J107" s="194" t="s">
        <v>203</v>
      </c>
      <c r="K107" s="10" t="s">
        <v>204</v>
      </c>
      <c r="L107" s="10"/>
      <c r="M107" s="10" t="s">
        <v>205</v>
      </c>
      <c r="N107" s="196">
        <v>4903200</v>
      </c>
      <c r="O107" s="196">
        <v>4675944.4800000004</v>
      </c>
      <c r="P107" s="50">
        <v>12278400</v>
      </c>
      <c r="Q107" s="50">
        <v>12278400</v>
      </c>
      <c r="R107" s="196">
        <v>12278400</v>
      </c>
      <c r="S107" s="196">
        <v>12278400</v>
      </c>
    </row>
    <row r="108" spans="1:19" ht="210" x14ac:dyDescent="0.25">
      <c r="A108" s="88">
        <v>3237</v>
      </c>
      <c r="B108" s="87" t="s">
        <v>407</v>
      </c>
      <c r="C108" s="88">
        <v>906</v>
      </c>
      <c r="D108" s="89" t="s">
        <v>301</v>
      </c>
      <c r="E108" s="10" t="s">
        <v>69</v>
      </c>
      <c r="F108" s="10" t="s">
        <v>210</v>
      </c>
      <c r="G108" s="10" t="s">
        <v>71</v>
      </c>
      <c r="H108" s="88"/>
      <c r="I108" s="88"/>
      <c r="J108" s="88"/>
      <c r="K108" s="220" t="s">
        <v>437</v>
      </c>
      <c r="L108" s="10"/>
      <c r="M108" s="10" t="s">
        <v>438</v>
      </c>
      <c r="N108" s="86">
        <v>0</v>
      </c>
      <c r="O108" s="86">
        <v>0</v>
      </c>
      <c r="P108" s="86">
        <v>15514000</v>
      </c>
      <c r="Q108" s="86">
        <v>15514000</v>
      </c>
      <c r="R108" s="86">
        <v>15514000</v>
      </c>
      <c r="S108" s="86">
        <v>15514000</v>
      </c>
    </row>
    <row r="109" spans="1:19" ht="225" x14ac:dyDescent="0.25">
      <c r="A109" s="12">
        <v>3237</v>
      </c>
      <c r="B109" s="10" t="s">
        <v>388</v>
      </c>
      <c r="C109" s="12">
        <v>906</v>
      </c>
      <c r="D109" s="21" t="s">
        <v>209</v>
      </c>
      <c r="E109" s="10" t="s">
        <v>69</v>
      </c>
      <c r="F109" s="10" t="s">
        <v>210</v>
      </c>
      <c r="G109" s="10" t="s">
        <v>71</v>
      </c>
      <c r="H109" s="10" t="s">
        <v>211</v>
      </c>
      <c r="I109" s="10" t="s">
        <v>55</v>
      </c>
      <c r="J109" s="10" t="s">
        <v>28</v>
      </c>
      <c r="K109" s="10" t="s">
        <v>212</v>
      </c>
      <c r="L109" s="10"/>
      <c r="M109" s="10" t="s">
        <v>213</v>
      </c>
      <c r="N109" s="39">
        <v>8511700</v>
      </c>
      <c r="O109" s="39">
        <v>8394814.8100000005</v>
      </c>
      <c r="P109" s="39">
        <v>9333800</v>
      </c>
      <c r="Q109" s="39">
        <v>9333800</v>
      </c>
      <c r="R109" s="39">
        <v>9333800</v>
      </c>
      <c r="S109" s="39">
        <v>9333800</v>
      </c>
    </row>
    <row r="110" spans="1:19" s="23" customFormat="1" ht="71.25" x14ac:dyDescent="0.2">
      <c r="A110" s="85">
        <v>3400</v>
      </c>
      <c r="B110" s="28" t="s">
        <v>536</v>
      </c>
      <c r="C110" s="85"/>
      <c r="D110" s="79"/>
      <c r="E110" s="17"/>
      <c r="F110" s="17"/>
      <c r="G110" s="17"/>
      <c r="H110" s="28"/>
      <c r="I110" s="28"/>
      <c r="J110" s="28"/>
      <c r="K110" s="17"/>
      <c r="L110" s="17"/>
      <c r="M110" s="17"/>
      <c r="N110" s="127">
        <f t="shared" ref="N110:S110" si="18">N111+N113+N115</f>
        <v>900281405</v>
      </c>
      <c r="O110" s="127">
        <f t="shared" si="18"/>
        <v>900192737.22000003</v>
      </c>
      <c r="P110" s="127">
        <f t="shared" si="18"/>
        <v>953622500</v>
      </c>
      <c r="Q110" s="127">
        <f t="shared" si="18"/>
        <v>953622500</v>
      </c>
      <c r="R110" s="127">
        <f t="shared" si="18"/>
        <v>953622500</v>
      </c>
      <c r="S110" s="127">
        <f t="shared" si="18"/>
        <v>953622500</v>
      </c>
    </row>
    <row r="111" spans="1:19" ht="255" x14ac:dyDescent="0.25">
      <c r="A111" s="294">
        <v>3401</v>
      </c>
      <c r="B111" s="296" t="s">
        <v>538</v>
      </c>
      <c r="C111" s="294">
        <v>906</v>
      </c>
      <c r="D111" s="298" t="s">
        <v>181</v>
      </c>
      <c r="E111" s="10" t="s">
        <v>69</v>
      </c>
      <c r="F111" s="10" t="s">
        <v>182</v>
      </c>
      <c r="G111" s="10" t="s">
        <v>71</v>
      </c>
      <c r="H111" s="296"/>
      <c r="I111" s="296"/>
      <c r="J111" s="296"/>
      <c r="K111" s="10" t="s">
        <v>186</v>
      </c>
      <c r="L111" s="10"/>
      <c r="M111" s="10" t="s">
        <v>95</v>
      </c>
      <c r="N111" s="292">
        <f>64108300+389337400+19310500</f>
        <v>472756200</v>
      </c>
      <c r="O111" s="292">
        <f>64108300+389313977.9+19245254.32</f>
        <v>472667532.21999997</v>
      </c>
      <c r="P111" s="241">
        <f>68988500+409440958</f>
        <v>478429458</v>
      </c>
      <c r="Q111" s="241">
        <f>409440958+68988500</f>
        <v>478429458</v>
      </c>
      <c r="R111" s="292">
        <f>68988500+409440958</f>
        <v>478429458</v>
      </c>
      <c r="S111" s="292">
        <v>478429458</v>
      </c>
    </row>
    <row r="112" spans="1:19" ht="60" x14ac:dyDescent="0.25">
      <c r="A112" s="295"/>
      <c r="B112" s="297"/>
      <c r="C112" s="295"/>
      <c r="D112" s="299"/>
      <c r="E112" s="9" t="s">
        <v>183</v>
      </c>
      <c r="F112" s="10" t="s">
        <v>184</v>
      </c>
      <c r="G112" s="10" t="s">
        <v>185</v>
      </c>
      <c r="H112" s="297"/>
      <c r="I112" s="297"/>
      <c r="J112" s="297"/>
      <c r="K112" s="6"/>
      <c r="L112" s="4"/>
      <c r="M112" s="9"/>
      <c r="N112" s="293"/>
      <c r="O112" s="293"/>
      <c r="P112" s="242"/>
      <c r="Q112" s="242"/>
      <c r="R112" s="293"/>
      <c r="S112" s="293"/>
    </row>
    <row r="113" spans="1:19" ht="225" x14ac:dyDescent="0.25">
      <c r="A113" s="294">
        <v>3403</v>
      </c>
      <c r="B113" s="296" t="s">
        <v>537</v>
      </c>
      <c r="C113" s="294">
        <v>906</v>
      </c>
      <c r="D113" s="298" t="s">
        <v>206</v>
      </c>
      <c r="E113" s="10" t="s">
        <v>69</v>
      </c>
      <c r="F113" s="10" t="s">
        <v>201</v>
      </c>
      <c r="G113" s="10" t="s">
        <v>71</v>
      </c>
      <c r="H113" s="294"/>
      <c r="I113" s="294"/>
      <c r="J113" s="294"/>
      <c r="K113" s="10" t="s">
        <v>207</v>
      </c>
      <c r="L113" s="10"/>
      <c r="M113" s="10" t="s">
        <v>208</v>
      </c>
      <c r="N113" s="292">
        <f>118075945+309449260</f>
        <v>427525205</v>
      </c>
      <c r="O113" s="292">
        <f>309449260+118075945</f>
        <v>427525205</v>
      </c>
      <c r="P113" s="241">
        <f>135713200+316554400</f>
        <v>452267600</v>
      </c>
      <c r="Q113" s="241">
        <f>316554400+135713200</f>
        <v>452267600</v>
      </c>
      <c r="R113" s="292">
        <f>135713200+316554400</f>
        <v>452267600</v>
      </c>
      <c r="S113" s="292">
        <f>316554400+135713200</f>
        <v>452267600</v>
      </c>
    </row>
    <row r="114" spans="1:19" ht="60" x14ac:dyDescent="0.25">
      <c r="A114" s="295"/>
      <c r="B114" s="297"/>
      <c r="C114" s="295"/>
      <c r="D114" s="299"/>
      <c r="E114" s="10" t="s">
        <v>183</v>
      </c>
      <c r="F114" s="10" t="s">
        <v>184</v>
      </c>
      <c r="G114" s="10" t="s">
        <v>185</v>
      </c>
      <c r="H114" s="295"/>
      <c r="I114" s="295"/>
      <c r="J114" s="295"/>
      <c r="K114" s="10"/>
      <c r="L114" s="10"/>
      <c r="M114" s="10"/>
      <c r="N114" s="293"/>
      <c r="O114" s="293"/>
      <c r="P114" s="242"/>
      <c r="Q114" s="242"/>
      <c r="R114" s="293"/>
      <c r="S114" s="293"/>
    </row>
    <row r="115" spans="1:19" ht="315" x14ac:dyDescent="0.25">
      <c r="A115" s="12">
        <v>3404</v>
      </c>
      <c r="B115" s="256" t="s">
        <v>539</v>
      </c>
      <c r="C115" s="12">
        <v>906</v>
      </c>
      <c r="D115" s="21" t="s">
        <v>299</v>
      </c>
      <c r="E115" s="10" t="s">
        <v>69</v>
      </c>
      <c r="F115" s="10" t="s">
        <v>182</v>
      </c>
      <c r="G115" s="10" t="s">
        <v>71</v>
      </c>
      <c r="H115" s="10"/>
      <c r="I115" s="10"/>
      <c r="J115" s="10"/>
      <c r="K115" s="10" t="s">
        <v>186</v>
      </c>
      <c r="L115" s="10"/>
      <c r="M115" s="10" t="s">
        <v>95</v>
      </c>
      <c r="N115" s="39"/>
      <c r="O115" s="39"/>
      <c r="P115" s="39">
        <v>22925442</v>
      </c>
      <c r="Q115" s="39">
        <v>22925442</v>
      </c>
      <c r="R115" s="39">
        <v>22925442</v>
      </c>
      <c r="S115" s="39">
        <v>22925442</v>
      </c>
    </row>
    <row r="116" spans="1:19" s="23" customFormat="1" x14ac:dyDescent="0.2">
      <c r="A116" s="33"/>
      <c r="B116" s="262"/>
      <c r="C116" s="33">
        <v>908</v>
      </c>
      <c r="D116" s="34"/>
      <c r="E116" s="32"/>
      <c r="F116" s="32"/>
      <c r="G116" s="32"/>
      <c r="H116" s="32"/>
      <c r="I116" s="32"/>
      <c r="J116" s="32"/>
      <c r="K116" s="32"/>
      <c r="L116" s="32"/>
      <c r="M116" s="32"/>
      <c r="N116" s="41">
        <f t="shared" ref="N116:S117" si="19">N117</f>
        <v>437600</v>
      </c>
      <c r="O116" s="41">
        <f t="shared" si="19"/>
        <v>437547.7</v>
      </c>
      <c r="P116" s="41">
        <f t="shared" si="19"/>
        <v>0</v>
      </c>
      <c r="Q116" s="41">
        <f t="shared" si="19"/>
        <v>0</v>
      </c>
      <c r="R116" s="41">
        <f t="shared" si="19"/>
        <v>0</v>
      </c>
      <c r="S116" s="41">
        <f t="shared" si="19"/>
        <v>0</v>
      </c>
    </row>
    <row r="117" spans="1:19" s="23" customFormat="1" ht="114" x14ac:dyDescent="0.2">
      <c r="A117" s="85">
        <v>2600</v>
      </c>
      <c r="B117" s="28" t="s">
        <v>542</v>
      </c>
      <c r="C117" s="85"/>
      <c r="D117" s="79"/>
      <c r="E117" s="28"/>
      <c r="F117" s="28"/>
      <c r="G117" s="28"/>
      <c r="H117" s="28"/>
      <c r="I117" s="28"/>
      <c r="J117" s="28"/>
      <c r="K117" s="17"/>
      <c r="L117" s="17"/>
      <c r="M117" s="17"/>
      <c r="N117" s="127">
        <f t="shared" si="19"/>
        <v>437600</v>
      </c>
      <c r="O117" s="127">
        <f t="shared" si="19"/>
        <v>437547.7</v>
      </c>
      <c r="P117" s="127">
        <f t="shared" si="19"/>
        <v>0</v>
      </c>
      <c r="Q117" s="127">
        <f t="shared" si="19"/>
        <v>0</v>
      </c>
      <c r="R117" s="127">
        <f t="shared" si="19"/>
        <v>0</v>
      </c>
      <c r="S117" s="127">
        <f t="shared" si="19"/>
        <v>0</v>
      </c>
    </row>
    <row r="118" spans="1:19" ht="90" x14ac:dyDescent="0.25">
      <c r="A118" s="125">
        <v>2601</v>
      </c>
      <c r="B118" s="109" t="s">
        <v>382</v>
      </c>
      <c r="C118" s="125">
        <v>908</v>
      </c>
      <c r="D118" s="128" t="s">
        <v>360</v>
      </c>
      <c r="E118" s="221" t="s">
        <v>20</v>
      </c>
      <c r="F118" s="109" t="s">
        <v>418</v>
      </c>
      <c r="G118" s="109" t="s">
        <v>99</v>
      </c>
      <c r="H118" s="109"/>
      <c r="I118" s="109"/>
      <c r="J118" s="124"/>
      <c r="K118" s="81" t="s">
        <v>29</v>
      </c>
      <c r="L118" s="10"/>
      <c r="M118" s="74" t="s">
        <v>30</v>
      </c>
      <c r="N118" s="75">
        <v>437600</v>
      </c>
      <c r="O118" s="75">
        <v>437547.7</v>
      </c>
      <c r="P118" s="75">
        <v>0</v>
      </c>
      <c r="Q118" s="75">
        <v>0</v>
      </c>
      <c r="R118" s="75"/>
      <c r="S118" s="123"/>
    </row>
    <row r="119" spans="1:19" s="23" customFormat="1" ht="57" x14ac:dyDescent="0.2">
      <c r="A119" s="33"/>
      <c r="B119" s="32" t="s">
        <v>214</v>
      </c>
      <c r="C119" s="33">
        <v>909</v>
      </c>
      <c r="D119" s="34"/>
      <c r="E119" s="32"/>
      <c r="F119" s="32"/>
      <c r="G119" s="32"/>
      <c r="H119" s="32"/>
      <c r="I119" s="32"/>
      <c r="J119" s="32"/>
      <c r="K119" s="32"/>
      <c r="L119" s="32"/>
      <c r="M119" s="32"/>
      <c r="N119" s="41">
        <f t="shared" ref="N119:S119" si="20">N120+N150+N155</f>
        <v>454958453.68000007</v>
      </c>
      <c r="O119" s="41">
        <f t="shared" si="20"/>
        <v>425846307.72000009</v>
      </c>
      <c r="P119" s="41">
        <f t="shared" si="20"/>
        <v>396373972</v>
      </c>
      <c r="Q119" s="41">
        <f t="shared" si="20"/>
        <v>288973800</v>
      </c>
      <c r="R119" s="41">
        <f t="shared" si="20"/>
        <v>255437534</v>
      </c>
      <c r="S119" s="41">
        <f t="shared" si="20"/>
        <v>255437534</v>
      </c>
    </row>
    <row r="120" spans="1:19" s="23" customFormat="1" ht="57" x14ac:dyDescent="0.2">
      <c r="A120" s="112">
        <v>2500</v>
      </c>
      <c r="B120" s="121" t="s">
        <v>541</v>
      </c>
      <c r="C120" s="17"/>
      <c r="D120" s="26"/>
      <c r="E120" s="17"/>
      <c r="F120" s="17"/>
      <c r="G120" s="17"/>
      <c r="H120" s="17"/>
      <c r="I120" s="17"/>
      <c r="J120" s="17"/>
      <c r="K120" s="17"/>
      <c r="L120" s="17"/>
      <c r="M120" s="17"/>
      <c r="N120" s="40">
        <f t="shared" ref="N120:S120" si="21">N121+N124+N128+N130+N134+N137+N140+N142+N145+N132</f>
        <v>411920479.27000004</v>
      </c>
      <c r="O120" s="40">
        <f t="shared" si="21"/>
        <v>390449165.91000009</v>
      </c>
      <c r="P120" s="40">
        <f t="shared" si="21"/>
        <v>357683321</v>
      </c>
      <c r="Q120" s="40">
        <f t="shared" si="21"/>
        <v>250283149</v>
      </c>
      <c r="R120" s="40">
        <f t="shared" si="21"/>
        <v>216746883</v>
      </c>
      <c r="S120" s="40">
        <f t="shared" si="21"/>
        <v>216746883</v>
      </c>
    </row>
    <row r="121" spans="1:19" ht="90" x14ac:dyDescent="0.25">
      <c r="A121" s="294">
        <v>2505</v>
      </c>
      <c r="B121" s="296" t="s">
        <v>218</v>
      </c>
      <c r="C121" s="294">
        <v>909</v>
      </c>
      <c r="D121" s="298" t="s">
        <v>434</v>
      </c>
      <c r="E121" s="199" t="s">
        <v>20</v>
      </c>
      <c r="F121" s="199" t="s">
        <v>220</v>
      </c>
      <c r="G121" s="199" t="s">
        <v>99</v>
      </c>
      <c r="H121" s="359" t="s">
        <v>223</v>
      </c>
      <c r="I121" s="199" t="s">
        <v>224</v>
      </c>
      <c r="J121" s="199" t="s">
        <v>225</v>
      </c>
      <c r="K121" s="10" t="s">
        <v>29</v>
      </c>
      <c r="L121" s="10" t="s">
        <v>226</v>
      </c>
      <c r="M121" s="10" t="s">
        <v>38</v>
      </c>
      <c r="N121" s="292">
        <f>185275+12580972+1548257+200000+569877</f>
        <v>15084381</v>
      </c>
      <c r="O121" s="292">
        <f>185275+12518067.14+1548257+200000+569877</f>
        <v>15021476.140000001</v>
      </c>
      <c r="P121" s="50">
        <f>400000+400000+959005+100000+700000</f>
        <v>2559005</v>
      </c>
      <c r="Q121" s="50">
        <f>400000+400000+900000+100000+700000</f>
        <v>2500000</v>
      </c>
      <c r="R121" s="292">
        <f>400000+400000+900000+100000+700000</f>
        <v>2500000</v>
      </c>
      <c r="S121" s="292">
        <v>2500000</v>
      </c>
    </row>
    <row r="122" spans="1:19" ht="75" x14ac:dyDescent="0.25">
      <c r="A122" s="305"/>
      <c r="B122" s="313"/>
      <c r="C122" s="305"/>
      <c r="D122" s="329"/>
      <c r="E122" s="227"/>
      <c r="F122" s="227"/>
      <c r="G122" s="227"/>
      <c r="H122" s="360"/>
      <c r="I122" s="227"/>
      <c r="J122" s="227"/>
      <c r="K122" s="10" t="s">
        <v>494</v>
      </c>
      <c r="L122" s="10"/>
      <c r="M122" s="10" t="s">
        <v>493</v>
      </c>
      <c r="N122" s="300"/>
      <c r="O122" s="300"/>
      <c r="P122" s="222"/>
      <c r="Q122" s="222"/>
      <c r="R122" s="300"/>
      <c r="S122" s="300"/>
    </row>
    <row r="123" spans="1:19" ht="90" x14ac:dyDescent="0.25">
      <c r="A123" s="305"/>
      <c r="B123" s="313"/>
      <c r="C123" s="305"/>
      <c r="D123" s="306"/>
      <c r="E123" s="200" t="s">
        <v>221</v>
      </c>
      <c r="F123" s="200" t="s">
        <v>222</v>
      </c>
      <c r="G123" s="200" t="s">
        <v>197</v>
      </c>
      <c r="H123" s="200"/>
      <c r="I123" s="200"/>
      <c r="J123" s="200"/>
      <c r="K123" s="10" t="s">
        <v>518</v>
      </c>
      <c r="L123" s="10"/>
      <c r="M123" s="10" t="s">
        <v>519</v>
      </c>
      <c r="N123" s="300"/>
      <c r="O123" s="300"/>
      <c r="P123" s="52"/>
      <c r="Q123" s="52"/>
      <c r="R123" s="300"/>
      <c r="S123" s="300"/>
    </row>
    <row r="124" spans="1:19" ht="135" x14ac:dyDescent="0.25">
      <c r="A124" s="294">
        <v>2507</v>
      </c>
      <c r="B124" s="296" t="s">
        <v>227</v>
      </c>
      <c r="C124" s="294">
        <v>909</v>
      </c>
      <c r="D124" s="298" t="s">
        <v>228</v>
      </c>
      <c r="E124" s="10" t="s">
        <v>229</v>
      </c>
      <c r="F124" s="10" t="s">
        <v>230</v>
      </c>
      <c r="G124" s="10" t="s">
        <v>231</v>
      </c>
      <c r="H124" s="10" t="s">
        <v>232</v>
      </c>
      <c r="I124" s="10" t="s">
        <v>55</v>
      </c>
      <c r="J124" s="10" t="s">
        <v>233</v>
      </c>
      <c r="K124" s="10" t="s">
        <v>29</v>
      </c>
      <c r="L124" s="10" t="s">
        <v>238</v>
      </c>
      <c r="M124" s="10" t="s">
        <v>30</v>
      </c>
      <c r="N124" s="292">
        <f>149081980+250000</f>
        <v>149331980</v>
      </c>
      <c r="O124" s="292">
        <f>148510035.42+250000</f>
        <v>148760035.41999999</v>
      </c>
      <c r="P124" s="292">
        <v>114110840</v>
      </c>
      <c r="Q124" s="292">
        <v>107881279</v>
      </c>
      <c r="R124" s="292">
        <v>106881279</v>
      </c>
      <c r="S124" s="292">
        <v>106881279</v>
      </c>
    </row>
    <row r="125" spans="1:19" ht="60" x14ac:dyDescent="0.25">
      <c r="A125" s="305"/>
      <c r="B125" s="313"/>
      <c r="C125" s="305"/>
      <c r="D125" s="306"/>
      <c r="E125" s="10"/>
      <c r="F125" s="10"/>
      <c r="G125" s="10"/>
      <c r="H125" s="10"/>
      <c r="I125" s="10"/>
      <c r="J125" s="10"/>
      <c r="K125" s="10" t="s">
        <v>236</v>
      </c>
      <c r="L125" s="10"/>
      <c r="M125" s="10" t="s">
        <v>237</v>
      </c>
      <c r="N125" s="300"/>
      <c r="O125" s="300"/>
      <c r="P125" s="300"/>
      <c r="Q125" s="300"/>
      <c r="R125" s="300"/>
      <c r="S125" s="300"/>
    </row>
    <row r="126" spans="1:19" ht="105" x14ac:dyDescent="0.25">
      <c r="A126" s="305"/>
      <c r="B126" s="313"/>
      <c r="C126" s="305"/>
      <c r="D126" s="306"/>
      <c r="E126" s="10"/>
      <c r="F126" s="10"/>
      <c r="G126" s="10"/>
      <c r="H126" s="10"/>
      <c r="I126" s="10"/>
      <c r="J126" s="10"/>
      <c r="K126" s="10" t="s">
        <v>234</v>
      </c>
      <c r="L126" s="10"/>
      <c r="M126" s="10" t="s">
        <v>235</v>
      </c>
      <c r="N126" s="300"/>
      <c r="O126" s="300"/>
      <c r="P126" s="300"/>
      <c r="Q126" s="300"/>
      <c r="R126" s="300"/>
      <c r="S126" s="300"/>
    </row>
    <row r="127" spans="1:19" ht="150" x14ac:dyDescent="0.25">
      <c r="A127" s="295"/>
      <c r="B127" s="297"/>
      <c r="C127" s="295"/>
      <c r="D127" s="299"/>
      <c r="E127" s="10"/>
      <c r="F127" s="10"/>
      <c r="G127" s="10"/>
      <c r="H127" s="10"/>
      <c r="I127" s="10"/>
      <c r="J127" s="10"/>
      <c r="K127" s="10" t="s">
        <v>553</v>
      </c>
      <c r="L127" s="10"/>
      <c r="M127" s="10" t="s">
        <v>554</v>
      </c>
      <c r="N127" s="293"/>
      <c r="O127" s="293"/>
      <c r="P127" s="293"/>
      <c r="Q127" s="293"/>
      <c r="R127" s="293"/>
      <c r="S127" s="293"/>
    </row>
    <row r="128" spans="1:19" ht="240" x14ac:dyDescent="0.25">
      <c r="A128" s="294">
        <v>2508</v>
      </c>
      <c r="B128" s="296" t="s">
        <v>45</v>
      </c>
      <c r="C128" s="294">
        <v>909</v>
      </c>
      <c r="D128" s="298" t="s">
        <v>120</v>
      </c>
      <c r="E128" s="10" t="s">
        <v>20</v>
      </c>
      <c r="F128" s="10" t="s">
        <v>239</v>
      </c>
      <c r="G128" s="10" t="s">
        <v>99</v>
      </c>
      <c r="H128" s="10"/>
      <c r="I128" s="10"/>
      <c r="J128" s="10"/>
      <c r="K128" s="73" t="s">
        <v>524</v>
      </c>
      <c r="L128" s="10"/>
      <c r="M128" s="10" t="s">
        <v>525</v>
      </c>
      <c r="N128" s="301">
        <f>83095832.92-1887979.18</f>
        <v>81207853.739999995</v>
      </c>
      <c r="O128" s="301">
        <f>68085504.84-1887979.18</f>
        <v>66197525.660000004</v>
      </c>
      <c r="P128" s="292">
        <f>8365480-2000000</f>
        <v>6365480</v>
      </c>
      <c r="Q128" s="50">
        <f>4911313-2000000</f>
        <v>2911313</v>
      </c>
      <c r="R128" s="292">
        <f>6126385-2000000</f>
        <v>4126385</v>
      </c>
      <c r="S128" s="292">
        <v>4126385</v>
      </c>
    </row>
    <row r="129" spans="1:19" ht="45" x14ac:dyDescent="0.25">
      <c r="A129" s="295"/>
      <c r="B129" s="297"/>
      <c r="C129" s="295"/>
      <c r="D129" s="299"/>
      <c r="E129" s="10"/>
      <c r="F129" s="10"/>
      <c r="G129" s="10"/>
      <c r="H129" s="10"/>
      <c r="I129" s="10"/>
      <c r="J129" s="10"/>
      <c r="K129" s="10" t="s">
        <v>29</v>
      </c>
      <c r="L129" s="10" t="s">
        <v>122</v>
      </c>
      <c r="M129" s="10" t="s">
        <v>30</v>
      </c>
      <c r="N129" s="302"/>
      <c r="O129" s="302"/>
      <c r="P129" s="293"/>
      <c r="Q129" s="51"/>
      <c r="R129" s="293"/>
      <c r="S129" s="293"/>
    </row>
    <row r="130" spans="1:19" ht="225" x14ac:dyDescent="0.25">
      <c r="A130" s="294">
        <v>2511</v>
      </c>
      <c r="B130" s="296" t="s">
        <v>240</v>
      </c>
      <c r="C130" s="294">
        <v>909</v>
      </c>
      <c r="D130" s="298" t="s">
        <v>241</v>
      </c>
      <c r="E130" s="10" t="s">
        <v>20</v>
      </c>
      <c r="F130" s="10" t="s">
        <v>242</v>
      </c>
      <c r="G130" s="10" t="s">
        <v>99</v>
      </c>
      <c r="H130" s="10" t="s">
        <v>243</v>
      </c>
      <c r="I130" s="10" t="s">
        <v>55</v>
      </c>
      <c r="J130" s="10" t="s">
        <v>244</v>
      </c>
      <c r="K130" s="10" t="s">
        <v>248</v>
      </c>
      <c r="L130" s="10"/>
      <c r="M130" s="10" t="s">
        <v>249</v>
      </c>
      <c r="N130" s="292">
        <v>62279081.939999998</v>
      </c>
      <c r="O130" s="292">
        <v>56853672.140000001</v>
      </c>
      <c r="P130" s="292">
        <v>62921020</v>
      </c>
      <c r="Q130" s="292">
        <v>41408157</v>
      </c>
      <c r="R130" s="292">
        <v>41408157</v>
      </c>
      <c r="S130" s="292">
        <v>41408157</v>
      </c>
    </row>
    <row r="131" spans="1:19" ht="90" x14ac:dyDescent="0.25">
      <c r="A131" s="295"/>
      <c r="B131" s="297"/>
      <c r="C131" s="295"/>
      <c r="D131" s="299"/>
      <c r="E131" s="10"/>
      <c r="F131" s="10"/>
      <c r="G131" s="10"/>
      <c r="H131" s="10" t="s">
        <v>245</v>
      </c>
      <c r="I131" s="10" t="s">
        <v>246</v>
      </c>
      <c r="J131" s="10" t="s">
        <v>247</v>
      </c>
      <c r="K131" s="10" t="s">
        <v>29</v>
      </c>
      <c r="L131" s="10" t="s">
        <v>555</v>
      </c>
      <c r="M131" s="10" t="s">
        <v>30</v>
      </c>
      <c r="N131" s="293"/>
      <c r="O131" s="293"/>
      <c r="P131" s="293"/>
      <c r="Q131" s="293"/>
      <c r="R131" s="293"/>
      <c r="S131" s="293"/>
    </row>
    <row r="132" spans="1:19" ht="240" x14ac:dyDescent="0.25">
      <c r="A132" s="174">
        <v>2551</v>
      </c>
      <c r="B132" s="172" t="s">
        <v>474</v>
      </c>
      <c r="C132" s="174">
        <v>909</v>
      </c>
      <c r="D132" s="173" t="s">
        <v>475</v>
      </c>
      <c r="E132" s="171" t="s">
        <v>20</v>
      </c>
      <c r="F132" s="171" t="s">
        <v>476</v>
      </c>
      <c r="G132" s="171" t="s">
        <v>99</v>
      </c>
      <c r="H132" s="171" t="s">
        <v>477</v>
      </c>
      <c r="I132" s="171"/>
      <c r="J132" s="171" t="s">
        <v>478</v>
      </c>
      <c r="K132" s="10" t="s">
        <v>29</v>
      </c>
      <c r="L132" s="10" t="s">
        <v>176</v>
      </c>
      <c r="M132" s="10" t="s">
        <v>30</v>
      </c>
      <c r="N132" s="175">
        <v>4200000</v>
      </c>
      <c r="O132" s="175">
        <v>4200000</v>
      </c>
      <c r="P132" s="175">
        <v>0</v>
      </c>
      <c r="Q132" s="175"/>
      <c r="R132" s="175"/>
      <c r="S132" s="175"/>
    </row>
    <row r="133" spans="1:19" ht="60" x14ac:dyDescent="0.25">
      <c r="A133" s="234"/>
      <c r="B133" s="236"/>
      <c r="C133" s="234"/>
      <c r="D133" s="237"/>
      <c r="E133" s="233"/>
      <c r="F133" s="233"/>
      <c r="G133" s="233"/>
      <c r="H133" s="233"/>
      <c r="I133" s="233"/>
      <c r="J133" s="233"/>
      <c r="K133" s="10" t="s">
        <v>526</v>
      </c>
      <c r="L133" s="10"/>
      <c r="M133" s="18" t="s">
        <v>527</v>
      </c>
      <c r="N133" s="235"/>
      <c r="O133" s="235"/>
      <c r="P133" s="235"/>
      <c r="Q133" s="235"/>
      <c r="R133" s="235"/>
      <c r="S133" s="235"/>
    </row>
    <row r="134" spans="1:19" ht="45" x14ac:dyDescent="0.25">
      <c r="A134" s="294">
        <v>2529</v>
      </c>
      <c r="B134" s="296" t="s">
        <v>250</v>
      </c>
      <c r="C134" s="294">
        <v>909</v>
      </c>
      <c r="D134" s="298" t="s">
        <v>219</v>
      </c>
      <c r="E134" s="296" t="s">
        <v>20</v>
      </c>
      <c r="F134" s="294" t="s">
        <v>251</v>
      </c>
      <c r="G134" s="361" t="s">
        <v>99</v>
      </c>
      <c r="H134" s="294"/>
      <c r="I134" s="294"/>
      <c r="J134" s="294"/>
      <c r="K134" s="10" t="s">
        <v>29</v>
      </c>
      <c r="L134" s="10" t="s">
        <v>176</v>
      </c>
      <c r="M134" s="10" t="s">
        <v>30</v>
      </c>
      <c r="N134" s="292">
        <f>5447686.9+2251313.1</f>
        <v>7699000</v>
      </c>
      <c r="O134" s="292">
        <f>2251313.1+5048224.45</f>
        <v>7299537.5500000007</v>
      </c>
      <c r="P134" s="292">
        <v>8902000</v>
      </c>
      <c r="Q134" s="292">
        <v>8902000</v>
      </c>
      <c r="R134" s="292">
        <v>8902000</v>
      </c>
      <c r="S134" s="292">
        <v>8902000</v>
      </c>
    </row>
    <row r="135" spans="1:19" ht="225" x14ac:dyDescent="0.25">
      <c r="A135" s="305"/>
      <c r="B135" s="313"/>
      <c r="C135" s="305"/>
      <c r="D135" s="306"/>
      <c r="E135" s="313"/>
      <c r="F135" s="305"/>
      <c r="G135" s="362"/>
      <c r="H135" s="305"/>
      <c r="I135" s="305"/>
      <c r="J135" s="305"/>
      <c r="K135" s="73" t="s">
        <v>252</v>
      </c>
      <c r="L135" s="73"/>
      <c r="M135" s="73" t="s">
        <v>249</v>
      </c>
      <c r="N135" s="300"/>
      <c r="O135" s="300"/>
      <c r="P135" s="300"/>
      <c r="Q135" s="300"/>
      <c r="R135" s="300"/>
      <c r="S135" s="300"/>
    </row>
    <row r="136" spans="1:19" ht="390" x14ac:dyDescent="0.25">
      <c r="A136" s="295"/>
      <c r="B136" s="297"/>
      <c r="C136" s="295"/>
      <c r="D136" s="299"/>
      <c r="E136" s="297"/>
      <c r="F136" s="295"/>
      <c r="G136" s="363"/>
      <c r="H136" s="295"/>
      <c r="I136" s="295"/>
      <c r="J136" s="295"/>
      <c r="K136" s="10" t="s">
        <v>472</v>
      </c>
      <c r="L136" s="10"/>
      <c r="M136" s="10" t="s">
        <v>473</v>
      </c>
      <c r="N136" s="293"/>
      <c r="O136" s="293"/>
      <c r="P136" s="293"/>
      <c r="Q136" s="293"/>
      <c r="R136" s="293"/>
      <c r="S136" s="293"/>
    </row>
    <row r="137" spans="1:19" ht="45" x14ac:dyDescent="0.25">
      <c r="A137" s="294">
        <v>2536</v>
      </c>
      <c r="B137" s="296" t="s">
        <v>253</v>
      </c>
      <c r="C137" s="294">
        <v>909</v>
      </c>
      <c r="D137" s="298" t="s">
        <v>455</v>
      </c>
      <c r="E137" s="296" t="s">
        <v>20</v>
      </c>
      <c r="F137" s="296" t="s">
        <v>254</v>
      </c>
      <c r="G137" s="330" t="s">
        <v>99</v>
      </c>
      <c r="H137" s="296" t="s">
        <v>255</v>
      </c>
      <c r="I137" s="296" t="s">
        <v>257</v>
      </c>
      <c r="J137" s="296" t="s">
        <v>256</v>
      </c>
      <c r="K137" s="10" t="s">
        <v>29</v>
      </c>
      <c r="L137" s="10" t="s">
        <v>260</v>
      </c>
      <c r="M137" s="10" t="s">
        <v>30</v>
      </c>
      <c r="N137" s="292">
        <v>73837.16</v>
      </c>
      <c r="O137" s="292">
        <v>73837.16</v>
      </c>
      <c r="P137" s="292">
        <v>36000</v>
      </c>
      <c r="Q137" s="292">
        <v>36000</v>
      </c>
      <c r="R137" s="292">
        <v>36000</v>
      </c>
      <c r="S137" s="292">
        <v>36000</v>
      </c>
    </row>
    <row r="138" spans="1:19" ht="120" x14ac:dyDescent="0.25">
      <c r="A138" s="305"/>
      <c r="B138" s="313"/>
      <c r="C138" s="305"/>
      <c r="D138" s="306"/>
      <c r="E138" s="313"/>
      <c r="F138" s="313"/>
      <c r="G138" s="331"/>
      <c r="H138" s="313"/>
      <c r="I138" s="313"/>
      <c r="J138" s="313"/>
      <c r="K138" s="220" t="s">
        <v>258</v>
      </c>
      <c r="L138" s="10"/>
      <c r="M138" s="10" t="s">
        <v>259</v>
      </c>
      <c r="N138" s="300"/>
      <c r="O138" s="300"/>
      <c r="P138" s="300"/>
      <c r="Q138" s="300"/>
      <c r="R138" s="300"/>
      <c r="S138" s="300"/>
    </row>
    <row r="139" spans="1:19" ht="75" x14ac:dyDescent="0.25">
      <c r="A139" s="295"/>
      <c r="B139" s="297"/>
      <c r="C139" s="295"/>
      <c r="D139" s="299"/>
      <c r="E139" s="297"/>
      <c r="F139" s="297"/>
      <c r="G139" s="332"/>
      <c r="H139" s="297"/>
      <c r="I139" s="297"/>
      <c r="J139" s="297"/>
      <c r="K139" s="10" t="s">
        <v>552</v>
      </c>
      <c r="L139" s="10"/>
      <c r="M139" s="18">
        <v>44253</v>
      </c>
      <c r="N139" s="293"/>
      <c r="O139" s="293"/>
      <c r="P139" s="293"/>
      <c r="Q139" s="293"/>
      <c r="R139" s="293"/>
      <c r="S139" s="293"/>
    </row>
    <row r="140" spans="1:19" ht="120" x14ac:dyDescent="0.25">
      <c r="A140" s="294">
        <v>2538</v>
      </c>
      <c r="B140" s="296" t="s">
        <v>261</v>
      </c>
      <c r="C140" s="294">
        <v>909</v>
      </c>
      <c r="D140" s="298" t="s">
        <v>262</v>
      </c>
      <c r="E140" s="10" t="s">
        <v>20</v>
      </c>
      <c r="F140" s="10" t="s">
        <v>263</v>
      </c>
      <c r="G140" s="18" t="s">
        <v>99</v>
      </c>
      <c r="H140" s="10" t="s">
        <v>267</v>
      </c>
      <c r="I140" s="10" t="s">
        <v>55</v>
      </c>
      <c r="J140" s="10" t="s">
        <v>268</v>
      </c>
      <c r="K140" s="220" t="s">
        <v>269</v>
      </c>
      <c r="L140" s="10"/>
      <c r="M140" s="10" t="s">
        <v>270</v>
      </c>
      <c r="N140" s="292">
        <v>867129.32</v>
      </c>
      <c r="O140" s="292">
        <v>867129.32</v>
      </c>
      <c r="P140" s="292">
        <v>1450000</v>
      </c>
      <c r="Q140" s="292">
        <v>1450000</v>
      </c>
      <c r="R140" s="292">
        <v>700000</v>
      </c>
      <c r="S140" s="292">
        <v>700000</v>
      </c>
    </row>
    <row r="141" spans="1:19" ht="60" x14ac:dyDescent="0.25">
      <c r="A141" s="295"/>
      <c r="B141" s="297"/>
      <c r="C141" s="295"/>
      <c r="D141" s="299"/>
      <c r="E141" s="10" t="s">
        <v>264</v>
      </c>
      <c r="F141" s="10" t="s">
        <v>265</v>
      </c>
      <c r="G141" s="10" t="s">
        <v>266</v>
      </c>
      <c r="H141" s="10"/>
      <c r="I141" s="10"/>
      <c r="J141" s="10"/>
      <c r="K141" s="10" t="s">
        <v>29</v>
      </c>
      <c r="L141" s="10" t="s">
        <v>271</v>
      </c>
      <c r="M141" s="10" t="s">
        <v>30</v>
      </c>
      <c r="N141" s="293"/>
      <c r="O141" s="293"/>
      <c r="P141" s="293"/>
      <c r="Q141" s="293"/>
      <c r="R141" s="293"/>
      <c r="S141" s="293"/>
    </row>
    <row r="142" spans="1:19" ht="90" x14ac:dyDescent="0.25">
      <c r="A142" s="294">
        <v>2128</v>
      </c>
      <c r="B142" s="296" t="s">
        <v>272</v>
      </c>
      <c r="C142" s="294">
        <v>909</v>
      </c>
      <c r="D142" s="298" t="s">
        <v>443</v>
      </c>
      <c r="E142" s="10" t="s">
        <v>20</v>
      </c>
      <c r="F142" s="10" t="s">
        <v>273</v>
      </c>
      <c r="G142" s="18" t="s">
        <v>99</v>
      </c>
      <c r="H142" s="10" t="s">
        <v>280</v>
      </c>
      <c r="I142" s="10" t="s">
        <v>55</v>
      </c>
      <c r="J142" s="10" t="s">
        <v>281</v>
      </c>
      <c r="K142" s="10" t="s">
        <v>29</v>
      </c>
      <c r="L142" s="10" t="s">
        <v>282</v>
      </c>
      <c r="M142" s="10" t="s">
        <v>30</v>
      </c>
      <c r="N142" s="292">
        <v>0</v>
      </c>
      <c r="O142" s="292">
        <v>0</v>
      </c>
      <c r="P142" s="50">
        <v>0</v>
      </c>
      <c r="Q142" s="50">
        <v>0</v>
      </c>
      <c r="R142" s="307">
        <v>0</v>
      </c>
      <c r="S142" s="307">
        <v>0</v>
      </c>
    </row>
    <row r="143" spans="1:19" ht="120" x14ac:dyDescent="0.25">
      <c r="A143" s="305"/>
      <c r="B143" s="313"/>
      <c r="C143" s="305"/>
      <c r="D143" s="306"/>
      <c r="E143" s="10" t="s">
        <v>274</v>
      </c>
      <c r="F143" s="10" t="s">
        <v>275</v>
      </c>
      <c r="G143" s="10" t="s">
        <v>276</v>
      </c>
      <c r="H143" s="10"/>
      <c r="I143" s="10"/>
      <c r="J143" s="10"/>
      <c r="K143" s="10" t="s">
        <v>283</v>
      </c>
      <c r="L143" s="10"/>
      <c r="M143" s="10" t="s">
        <v>284</v>
      </c>
      <c r="N143" s="300"/>
      <c r="O143" s="300"/>
      <c r="P143" s="52"/>
      <c r="Q143" s="52"/>
      <c r="R143" s="309"/>
      <c r="S143" s="309"/>
    </row>
    <row r="144" spans="1:19" ht="60" x14ac:dyDescent="0.25">
      <c r="A144" s="295"/>
      <c r="B144" s="297"/>
      <c r="C144" s="295"/>
      <c r="D144" s="299"/>
      <c r="E144" s="10" t="s">
        <v>277</v>
      </c>
      <c r="F144" s="10" t="s">
        <v>278</v>
      </c>
      <c r="G144" s="10" t="s">
        <v>279</v>
      </c>
      <c r="H144" s="10"/>
      <c r="I144" s="10"/>
      <c r="J144" s="10"/>
      <c r="K144" s="10"/>
      <c r="L144" s="10"/>
      <c r="M144" s="10"/>
      <c r="N144" s="293"/>
      <c r="O144" s="293"/>
      <c r="P144" s="51"/>
      <c r="Q144" s="51"/>
      <c r="R144" s="308"/>
      <c r="S144" s="308"/>
    </row>
    <row r="145" spans="1:19" ht="90" x14ac:dyDescent="0.25">
      <c r="A145" s="294" t="s">
        <v>534</v>
      </c>
      <c r="B145" s="296" t="s">
        <v>285</v>
      </c>
      <c r="C145" s="294">
        <v>909</v>
      </c>
      <c r="D145" s="298" t="s">
        <v>262</v>
      </c>
      <c r="E145" s="10" t="s">
        <v>20</v>
      </c>
      <c r="F145" s="10" t="s">
        <v>286</v>
      </c>
      <c r="G145" s="10" t="s">
        <v>99</v>
      </c>
      <c r="H145" s="10"/>
      <c r="I145" s="10"/>
      <c r="J145" s="10"/>
      <c r="K145" s="10" t="s">
        <v>29</v>
      </c>
      <c r="L145" s="10" t="s">
        <v>287</v>
      </c>
      <c r="M145" s="10" t="s">
        <v>30</v>
      </c>
      <c r="N145" s="292">
        <f>90156366.25+1887979.18-867129.32</f>
        <v>91177216.110000014</v>
      </c>
      <c r="O145" s="292">
        <f>90155102.66+1887979.18-867129.32</f>
        <v>91175952.520000011</v>
      </c>
      <c r="P145" s="53">
        <f>160788976+2000000-P140</f>
        <v>161338976</v>
      </c>
      <c r="Q145" s="53">
        <f>84644400+2000000-Q140</f>
        <v>85194400</v>
      </c>
      <c r="R145" s="307">
        <f>50893062-R140+2000000</f>
        <v>52193062</v>
      </c>
      <c r="S145" s="307">
        <v>52193062</v>
      </c>
    </row>
    <row r="146" spans="1:19" ht="90" x14ac:dyDescent="0.25">
      <c r="A146" s="305"/>
      <c r="B146" s="313"/>
      <c r="C146" s="305"/>
      <c r="D146" s="306"/>
      <c r="E146" s="10"/>
      <c r="F146" s="10"/>
      <c r="G146" s="10"/>
      <c r="H146" s="10"/>
      <c r="I146" s="10"/>
      <c r="J146" s="10"/>
      <c r="K146" s="205" t="s">
        <v>491</v>
      </c>
      <c r="L146" s="205"/>
      <c r="M146" s="205" t="s">
        <v>492</v>
      </c>
      <c r="N146" s="300"/>
      <c r="O146" s="300"/>
      <c r="P146" s="54"/>
      <c r="Q146" s="54"/>
      <c r="R146" s="309"/>
      <c r="S146" s="309"/>
    </row>
    <row r="147" spans="1:19" ht="105" x14ac:dyDescent="0.25">
      <c r="A147" s="234"/>
      <c r="B147" s="236"/>
      <c r="C147" s="234"/>
      <c r="D147" s="237"/>
      <c r="E147" s="10"/>
      <c r="F147" s="10"/>
      <c r="G147" s="10"/>
      <c r="H147" s="10"/>
      <c r="I147" s="10"/>
      <c r="J147" s="10"/>
      <c r="K147" s="205" t="s">
        <v>528</v>
      </c>
      <c r="L147" s="205"/>
      <c r="M147" s="205" t="s">
        <v>529</v>
      </c>
      <c r="N147" s="235"/>
      <c r="O147" s="235"/>
      <c r="P147" s="238"/>
      <c r="Q147" s="238"/>
      <c r="R147" s="238"/>
      <c r="S147" s="238"/>
    </row>
    <row r="148" spans="1:19" ht="225" x14ac:dyDescent="0.25">
      <c r="A148" s="212"/>
      <c r="B148" s="215"/>
      <c r="C148" s="212"/>
      <c r="D148" s="213"/>
      <c r="E148" s="10"/>
      <c r="F148" s="10"/>
      <c r="G148" s="10"/>
      <c r="H148" s="10"/>
      <c r="I148" s="10"/>
      <c r="J148" s="10"/>
      <c r="K148" s="239" t="s">
        <v>500</v>
      </c>
      <c r="L148" s="205"/>
      <c r="M148" s="217">
        <v>44216</v>
      </c>
      <c r="N148" s="211"/>
      <c r="O148" s="211"/>
      <c r="P148" s="214"/>
      <c r="Q148" s="214"/>
      <c r="R148" s="214"/>
      <c r="S148" s="214"/>
    </row>
    <row r="149" spans="1:19" ht="105" x14ac:dyDescent="0.25">
      <c r="A149" s="212"/>
      <c r="B149" s="215"/>
      <c r="C149" s="212"/>
      <c r="D149" s="213"/>
      <c r="E149" s="10"/>
      <c r="F149" s="10"/>
      <c r="G149" s="10"/>
      <c r="H149" s="10"/>
      <c r="I149" s="10"/>
      <c r="J149" s="10"/>
      <c r="K149" s="239" t="s">
        <v>501</v>
      </c>
      <c r="L149" s="205"/>
      <c r="M149" s="217">
        <v>44216</v>
      </c>
      <c r="N149" s="211"/>
      <c r="O149" s="211"/>
      <c r="P149" s="214"/>
      <c r="Q149" s="214"/>
      <c r="R149" s="214"/>
      <c r="S149" s="214"/>
    </row>
    <row r="150" spans="1:19" s="23" customFormat="1" ht="114" x14ac:dyDescent="0.2">
      <c r="A150" s="85">
        <v>2600</v>
      </c>
      <c r="B150" s="28" t="s">
        <v>542</v>
      </c>
      <c r="C150" s="17"/>
      <c r="D150" s="26"/>
      <c r="E150" s="17"/>
      <c r="F150" s="17"/>
      <c r="G150" s="17"/>
      <c r="H150" s="17"/>
      <c r="I150" s="17"/>
      <c r="J150" s="17"/>
      <c r="K150" s="17"/>
      <c r="L150" s="17"/>
      <c r="M150" s="17"/>
      <c r="N150" s="40">
        <f t="shared" ref="N150:S150" si="22">N151+N153</f>
        <v>20404354.41</v>
      </c>
      <c r="O150" s="40">
        <f t="shared" si="22"/>
        <v>20390409.419999998</v>
      </c>
      <c r="P150" s="40">
        <f t="shared" si="22"/>
        <v>29019951</v>
      </c>
      <c r="Q150" s="40">
        <f t="shared" si="22"/>
        <v>29019951</v>
      </c>
      <c r="R150" s="40">
        <f t="shared" si="22"/>
        <v>29019951</v>
      </c>
      <c r="S150" s="40">
        <f t="shared" si="22"/>
        <v>29019951</v>
      </c>
    </row>
    <row r="151" spans="1:19" ht="105" x14ac:dyDescent="0.25">
      <c r="A151" s="294" t="s">
        <v>531</v>
      </c>
      <c r="B151" s="296" t="s">
        <v>383</v>
      </c>
      <c r="C151" s="294">
        <v>909</v>
      </c>
      <c r="D151" s="298" t="s">
        <v>215</v>
      </c>
      <c r="E151" s="10" t="s">
        <v>20</v>
      </c>
      <c r="F151" s="10" t="s">
        <v>33</v>
      </c>
      <c r="G151" s="9" t="s">
        <v>21</v>
      </c>
      <c r="H151" s="10" t="s">
        <v>24</v>
      </c>
      <c r="I151" s="11" t="s">
        <v>25</v>
      </c>
      <c r="J151" s="9" t="s">
        <v>26</v>
      </c>
      <c r="K151" s="10" t="s">
        <v>29</v>
      </c>
      <c r="L151" s="4"/>
      <c r="M151" s="10" t="s">
        <v>30</v>
      </c>
      <c r="N151" s="303">
        <v>8350585.9900000002</v>
      </c>
      <c r="O151" s="303">
        <v>8347454.0499999998</v>
      </c>
      <c r="P151" s="99">
        <v>10207829</v>
      </c>
      <c r="Q151" s="99">
        <v>10207829</v>
      </c>
      <c r="R151" s="307">
        <v>10207829</v>
      </c>
      <c r="S151" s="307">
        <v>10207829</v>
      </c>
    </row>
    <row r="152" spans="1:19" ht="285" x14ac:dyDescent="0.25">
      <c r="A152" s="295"/>
      <c r="B152" s="297"/>
      <c r="C152" s="295"/>
      <c r="D152" s="299"/>
      <c r="E152" s="9" t="s">
        <v>22</v>
      </c>
      <c r="F152" s="7" t="s">
        <v>25</v>
      </c>
      <c r="G152" s="9" t="s">
        <v>23</v>
      </c>
      <c r="H152" s="10" t="s">
        <v>27</v>
      </c>
      <c r="I152" s="11" t="s">
        <v>25</v>
      </c>
      <c r="J152" s="10" t="s">
        <v>28</v>
      </c>
      <c r="K152" s="10" t="s">
        <v>456</v>
      </c>
      <c r="L152" s="10"/>
      <c r="M152" s="10" t="s">
        <v>457</v>
      </c>
      <c r="N152" s="304"/>
      <c r="O152" s="304"/>
      <c r="P152" s="100"/>
      <c r="Q152" s="100"/>
      <c r="R152" s="308"/>
      <c r="S152" s="308"/>
    </row>
    <row r="153" spans="1:19" ht="90" x14ac:dyDescent="0.25">
      <c r="A153" s="294">
        <v>2608</v>
      </c>
      <c r="B153" s="296" t="s">
        <v>384</v>
      </c>
      <c r="C153" s="294">
        <v>909</v>
      </c>
      <c r="D153" s="298" t="s">
        <v>215</v>
      </c>
      <c r="E153" s="10" t="s">
        <v>20</v>
      </c>
      <c r="F153" s="10" t="s">
        <v>35</v>
      </c>
      <c r="G153" s="10" t="s">
        <v>21</v>
      </c>
      <c r="H153" s="13"/>
      <c r="I153" s="10"/>
      <c r="J153" s="10"/>
      <c r="K153" s="14" t="s">
        <v>216</v>
      </c>
      <c r="L153" s="10"/>
      <c r="M153" s="10" t="s">
        <v>217</v>
      </c>
      <c r="N153" s="307">
        <f>12303768.42-250000</f>
        <v>12053768.42</v>
      </c>
      <c r="O153" s="292">
        <f>12292955.37-250000</f>
        <v>12042955.369999999</v>
      </c>
      <c r="P153" s="192">
        <v>18812122</v>
      </c>
      <c r="Q153" s="97">
        <v>18812122</v>
      </c>
      <c r="R153" s="292">
        <v>18812122</v>
      </c>
      <c r="S153" s="292">
        <v>18812122</v>
      </c>
    </row>
    <row r="154" spans="1:19" ht="30" x14ac:dyDescent="0.25">
      <c r="A154" s="295"/>
      <c r="B154" s="297"/>
      <c r="C154" s="295"/>
      <c r="D154" s="299"/>
      <c r="E154" s="10"/>
      <c r="F154" s="10"/>
      <c r="G154" s="10"/>
      <c r="H154" s="10"/>
      <c r="I154" s="10"/>
      <c r="J154" s="10"/>
      <c r="K154" s="10" t="s">
        <v>29</v>
      </c>
      <c r="L154" s="7" t="s">
        <v>36</v>
      </c>
      <c r="M154" s="10" t="s">
        <v>38</v>
      </c>
      <c r="N154" s="308"/>
      <c r="O154" s="293"/>
      <c r="P154" s="98"/>
      <c r="Q154" s="98"/>
      <c r="R154" s="293"/>
      <c r="S154" s="293"/>
    </row>
    <row r="155" spans="1:19" s="23" customFormat="1" ht="156.75" x14ac:dyDescent="0.2">
      <c r="A155" s="116">
        <v>3200</v>
      </c>
      <c r="B155" s="118" t="s">
        <v>416</v>
      </c>
      <c r="C155" s="17"/>
      <c r="D155" s="26"/>
      <c r="E155" s="17"/>
      <c r="F155" s="17"/>
      <c r="G155" s="17"/>
      <c r="H155" s="17"/>
      <c r="I155" s="17"/>
      <c r="J155" s="17"/>
      <c r="K155" s="17"/>
      <c r="L155" s="17"/>
      <c r="M155" s="17"/>
      <c r="N155" s="40">
        <f t="shared" ref="N155:O155" si="23">N156+N158</f>
        <v>22633620</v>
      </c>
      <c r="O155" s="40">
        <f t="shared" si="23"/>
        <v>15006732.390000001</v>
      </c>
      <c r="P155" s="40">
        <f>P156+P158+P157</f>
        <v>9670700</v>
      </c>
      <c r="Q155" s="40">
        <f t="shared" ref="Q155:S155" si="24">Q156+Q158+Q157</f>
        <v>9670700</v>
      </c>
      <c r="R155" s="40">
        <f t="shared" si="24"/>
        <v>9670700</v>
      </c>
      <c r="S155" s="40">
        <f t="shared" si="24"/>
        <v>9670700</v>
      </c>
    </row>
    <row r="156" spans="1:19" ht="255" x14ac:dyDescent="0.25">
      <c r="A156" s="12">
        <v>3260</v>
      </c>
      <c r="B156" s="10" t="s">
        <v>389</v>
      </c>
      <c r="C156" s="12">
        <v>909</v>
      </c>
      <c r="D156" s="21" t="s">
        <v>219</v>
      </c>
      <c r="E156" s="10" t="s">
        <v>69</v>
      </c>
      <c r="F156" s="10" t="s">
        <v>288</v>
      </c>
      <c r="G156" s="10" t="s">
        <v>71</v>
      </c>
      <c r="H156" s="10" t="s">
        <v>289</v>
      </c>
      <c r="I156" s="10" t="s">
        <v>55</v>
      </c>
      <c r="J156" s="10" t="s">
        <v>290</v>
      </c>
      <c r="K156" s="10" t="s">
        <v>427</v>
      </c>
      <c r="L156" s="10"/>
      <c r="M156" s="10" t="s">
        <v>291</v>
      </c>
      <c r="N156" s="39">
        <v>20584900</v>
      </c>
      <c r="O156" s="39">
        <v>12958531.5</v>
      </c>
      <c r="P156" s="39">
        <v>7095100</v>
      </c>
      <c r="Q156" s="39">
        <v>7095100</v>
      </c>
      <c r="R156" s="39">
        <v>7095100</v>
      </c>
      <c r="S156" s="39">
        <v>7095100</v>
      </c>
    </row>
    <row r="157" spans="1:19" x14ac:dyDescent="0.25">
      <c r="A157" s="271"/>
      <c r="B157" s="270"/>
      <c r="C157" s="271"/>
      <c r="D157" s="269"/>
      <c r="E157" s="270"/>
      <c r="F157" s="270"/>
      <c r="G157" s="270"/>
      <c r="H157" s="270"/>
      <c r="I157" s="270"/>
      <c r="J157" s="270"/>
      <c r="K157" s="10"/>
      <c r="L157" s="10"/>
      <c r="M157" s="10"/>
      <c r="N157" s="272"/>
      <c r="O157" s="272"/>
      <c r="P157" s="272">
        <v>345500</v>
      </c>
      <c r="Q157" s="272">
        <v>345500</v>
      </c>
      <c r="R157" s="272">
        <v>345500</v>
      </c>
      <c r="S157" s="272">
        <v>345500</v>
      </c>
    </row>
    <row r="158" spans="1:19" ht="105" x14ac:dyDescent="0.25">
      <c r="A158" s="294">
        <v>3254</v>
      </c>
      <c r="B158" s="296" t="s">
        <v>390</v>
      </c>
      <c r="C158" s="294">
        <v>909</v>
      </c>
      <c r="D158" s="298" t="s">
        <v>460</v>
      </c>
      <c r="E158" s="296" t="s">
        <v>69</v>
      </c>
      <c r="F158" s="296" t="s">
        <v>292</v>
      </c>
      <c r="G158" s="294" t="s">
        <v>71</v>
      </c>
      <c r="H158" s="296" t="s">
        <v>293</v>
      </c>
      <c r="I158" s="296" t="s">
        <v>55</v>
      </c>
      <c r="J158" s="296" t="s">
        <v>294</v>
      </c>
      <c r="K158" s="10" t="s">
        <v>428</v>
      </c>
      <c r="L158" s="10"/>
      <c r="M158" s="10" t="s">
        <v>429</v>
      </c>
      <c r="N158" s="307">
        <v>2048720</v>
      </c>
      <c r="O158" s="307">
        <v>2048200.89</v>
      </c>
      <c r="P158" s="307">
        <v>2230100</v>
      </c>
      <c r="Q158" s="307">
        <v>2230100</v>
      </c>
      <c r="R158" s="307">
        <v>2230100</v>
      </c>
      <c r="S158" s="307">
        <v>2230100</v>
      </c>
    </row>
    <row r="159" spans="1:19" x14ac:dyDescent="0.25">
      <c r="A159" s="334"/>
      <c r="B159" s="346"/>
      <c r="C159" s="334"/>
      <c r="D159" s="299"/>
      <c r="E159" s="297"/>
      <c r="F159" s="297"/>
      <c r="G159" s="295"/>
      <c r="H159" s="297"/>
      <c r="I159" s="297"/>
      <c r="J159" s="297"/>
      <c r="K159" s="10"/>
      <c r="L159" s="10"/>
      <c r="M159" s="10"/>
      <c r="N159" s="308"/>
      <c r="O159" s="308"/>
      <c r="P159" s="308"/>
      <c r="Q159" s="308"/>
      <c r="R159" s="308"/>
      <c r="S159" s="308"/>
    </row>
    <row r="160" spans="1:19" s="23" customFormat="1" ht="42.75" x14ac:dyDescent="0.2">
      <c r="A160" s="30"/>
      <c r="B160" s="29" t="s">
        <v>295</v>
      </c>
      <c r="C160" s="30">
        <v>911</v>
      </c>
      <c r="D160" s="31"/>
      <c r="E160" s="29"/>
      <c r="F160" s="29"/>
      <c r="G160" s="29"/>
      <c r="H160" s="29"/>
      <c r="I160" s="29"/>
      <c r="J160" s="29"/>
      <c r="K160" s="29"/>
      <c r="L160" s="29"/>
      <c r="M160" s="29"/>
      <c r="N160" s="44">
        <f t="shared" ref="N160:S160" si="25">N161+N177</f>
        <v>142121016</v>
      </c>
      <c r="O160" s="44">
        <f t="shared" si="25"/>
        <v>140783318.43000001</v>
      </c>
      <c r="P160" s="44">
        <f t="shared" si="25"/>
        <v>133938366</v>
      </c>
      <c r="Q160" s="44">
        <f t="shared" si="25"/>
        <v>126548340</v>
      </c>
      <c r="R160" s="44">
        <f t="shared" si="25"/>
        <v>125752143</v>
      </c>
      <c r="S160" s="44">
        <f t="shared" si="25"/>
        <v>125752143</v>
      </c>
    </row>
    <row r="161" spans="1:19" s="23" customFormat="1" ht="57" x14ac:dyDescent="0.2">
      <c r="A161" s="112">
        <v>2500</v>
      </c>
      <c r="B161" s="121" t="s">
        <v>541</v>
      </c>
      <c r="C161" s="17"/>
      <c r="D161" s="26"/>
      <c r="E161" s="17"/>
      <c r="F161" s="17"/>
      <c r="G161" s="17"/>
      <c r="H161" s="17"/>
      <c r="I161" s="17"/>
      <c r="J161" s="17"/>
      <c r="K161" s="17"/>
      <c r="L161" s="17"/>
      <c r="M161" s="17"/>
      <c r="N161" s="40">
        <f>N162+N172+N168</f>
        <v>112954294</v>
      </c>
      <c r="O161" s="40">
        <f>O162+O172+O168</f>
        <v>111715174.75</v>
      </c>
      <c r="P161" s="40">
        <f>P162+P172+P168+P169</f>
        <v>102021788</v>
      </c>
      <c r="Q161" s="40">
        <f>Q162+Q172+Q168+Q169</f>
        <v>94903980</v>
      </c>
      <c r="R161" s="40">
        <f>R162+R172+R168+R169</f>
        <v>94260283</v>
      </c>
      <c r="S161" s="40">
        <f>S162+S172+S168+S169</f>
        <v>94260283</v>
      </c>
    </row>
    <row r="162" spans="1:19" ht="90" x14ac:dyDescent="0.25">
      <c r="A162" s="294">
        <v>2534</v>
      </c>
      <c r="B162" s="296" t="s">
        <v>308</v>
      </c>
      <c r="C162" s="294">
        <v>911</v>
      </c>
      <c r="D162" s="298" t="s">
        <v>309</v>
      </c>
      <c r="E162" s="10" t="s">
        <v>20</v>
      </c>
      <c r="F162" s="10" t="s">
        <v>310</v>
      </c>
      <c r="G162" s="10" t="s">
        <v>99</v>
      </c>
      <c r="H162" s="10"/>
      <c r="I162" s="10"/>
      <c r="J162" s="10"/>
      <c r="K162" s="10" t="s">
        <v>29</v>
      </c>
      <c r="L162" s="10" t="s">
        <v>176</v>
      </c>
      <c r="M162" s="10" t="s">
        <v>30</v>
      </c>
      <c r="N162" s="292">
        <f>76567059.52-N168</f>
        <v>76535186.019999996</v>
      </c>
      <c r="O162" s="292">
        <f>76025529.34-O168</f>
        <v>75993655.840000004</v>
      </c>
      <c r="P162" s="50">
        <f>80561731-P168</f>
        <v>80328876</v>
      </c>
      <c r="Q162" s="50">
        <f>75256004-Q168</f>
        <v>75023149</v>
      </c>
      <c r="R162" s="292">
        <f>74812307-R168</f>
        <v>74579452</v>
      </c>
      <c r="S162" s="292">
        <f>74812307-S168</f>
        <v>74579452</v>
      </c>
    </row>
    <row r="163" spans="1:19" ht="60" x14ac:dyDescent="0.25">
      <c r="A163" s="305"/>
      <c r="B163" s="313"/>
      <c r="C163" s="305"/>
      <c r="D163" s="306"/>
      <c r="E163" s="10"/>
      <c r="F163" s="10"/>
      <c r="G163" s="10"/>
      <c r="H163" s="10"/>
      <c r="I163" s="10"/>
      <c r="J163" s="10"/>
      <c r="K163" s="73" t="s">
        <v>502</v>
      </c>
      <c r="L163" s="73"/>
      <c r="M163" s="229" t="s">
        <v>510</v>
      </c>
      <c r="N163" s="300"/>
      <c r="O163" s="300"/>
      <c r="P163" s="135"/>
      <c r="Q163" s="135"/>
      <c r="R163" s="300"/>
      <c r="S163" s="300"/>
    </row>
    <row r="164" spans="1:19" ht="165" x14ac:dyDescent="0.25">
      <c r="A164" s="295"/>
      <c r="B164" s="297"/>
      <c r="C164" s="295"/>
      <c r="D164" s="299"/>
      <c r="E164" s="136"/>
      <c r="F164" s="136"/>
      <c r="G164" s="136"/>
      <c r="H164" s="10"/>
      <c r="I164" s="10"/>
      <c r="J164" s="10"/>
      <c r="K164" s="10" t="s">
        <v>508</v>
      </c>
      <c r="L164" s="10"/>
      <c r="M164" s="10" t="s">
        <v>509</v>
      </c>
      <c r="N164" s="135"/>
      <c r="O164" s="135"/>
      <c r="P164" s="135"/>
      <c r="Q164" s="135"/>
      <c r="R164" s="135"/>
      <c r="S164" s="135"/>
    </row>
    <row r="165" spans="1:19" ht="105" x14ac:dyDescent="0.25">
      <c r="A165" s="277"/>
      <c r="B165" s="276"/>
      <c r="C165" s="277"/>
      <c r="D165" s="278"/>
      <c r="E165" s="275"/>
      <c r="F165" s="275"/>
      <c r="G165" s="275"/>
      <c r="H165" s="10"/>
      <c r="I165" s="10"/>
      <c r="J165" s="10"/>
      <c r="K165" s="10" t="s">
        <v>563</v>
      </c>
      <c r="L165" s="10"/>
      <c r="M165" s="10" t="s">
        <v>564</v>
      </c>
      <c r="N165" s="279"/>
      <c r="O165" s="279"/>
      <c r="P165" s="279"/>
      <c r="Q165" s="279"/>
      <c r="R165" s="279"/>
      <c r="S165" s="279"/>
    </row>
    <row r="166" spans="1:19" ht="150" x14ac:dyDescent="0.25">
      <c r="A166" s="277"/>
      <c r="B166" s="276"/>
      <c r="C166" s="277"/>
      <c r="D166" s="278"/>
      <c r="E166" s="275"/>
      <c r="F166" s="275"/>
      <c r="G166" s="275"/>
      <c r="H166" s="10"/>
      <c r="I166" s="10"/>
      <c r="J166" s="10"/>
      <c r="K166" s="10" t="s">
        <v>565</v>
      </c>
      <c r="L166" s="10"/>
      <c r="M166" s="10" t="s">
        <v>566</v>
      </c>
      <c r="N166" s="279"/>
      <c r="O166" s="279"/>
      <c r="P166" s="279"/>
      <c r="Q166" s="279"/>
      <c r="R166" s="279"/>
      <c r="S166" s="279"/>
    </row>
    <row r="167" spans="1:19" ht="90" x14ac:dyDescent="0.25">
      <c r="A167" s="277"/>
      <c r="B167" s="276"/>
      <c r="C167" s="277"/>
      <c r="D167" s="278"/>
      <c r="E167" s="275"/>
      <c r="F167" s="275"/>
      <c r="G167" s="275"/>
      <c r="H167" s="10"/>
      <c r="I167" s="10"/>
      <c r="J167" s="10"/>
      <c r="K167" s="10" t="s">
        <v>567</v>
      </c>
      <c r="L167" s="10"/>
      <c r="M167" s="10" t="s">
        <v>566</v>
      </c>
      <c r="N167" s="279"/>
      <c r="O167" s="279"/>
      <c r="P167" s="279"/>
      <c r="Q167" s="279"/>
      <c r="R167" s="279"/>
      <c r="S167" s="279"/>
    </row>
    <row r="168" spans="1:19" ht="165" x14ac:dyDescent="0.25">
      <c r="A168" s="12">
        <v>2535</v>
      </c>
      <c r="B168" s="10" t="s">
        <v>549</v>
      </c>
      <c r="C168" s="12">
        <v>911</v>
      </c>
      <c r="D168" s="21" t="s">
        <v>309</v>
      </c>
      <c r="E168" s="10" t="s">
        <v>311</v>
      </c>
      <c r="F168" s="10" t="s">
        <v>312</v>
      </c>
      <c r="G168" s="10" t="s">
        <v>313</v>
      </c>
      <c r="H168" s="10"/>
      <c r="I168" s="10"/>
      <c r="J168" s="10"/>
      <c r="K168" s="10" t="s">
        <v>368</v>
      </c>
      <c r="L168" s="10"/>
      <c r="M168" s="10" t="s">
        <v>369</v>
      </c>
      <c r="N168" s="251">
        <v>31873.5</v>
      </c>
      <c r="O168" s="251">
        <v>31873.5</v>
      </c>
      <c r="P168" s="251">
        <v>232855</v>
      </c>
      <c r="Q168" s="251">
        <v>232855</v>
      </c>
      <c r="R168" s="251">
        <v>232855</v>
      </c>
      <c r="S168" s="251">
        <v>232855</v>
      </c>
    </row>
    <row r="169" spans="1:19" ht="135" x14ac:dyDescent="0.25">
      <c r="A169" s="294">
        <v>2554</v>
      </c>
      <c r="B169" s="296" t="s">
        <v>550</v>
      </c>
      <c r="C169" s="294">
        <v>911</v>
      </c>
      <c r="D169" s="298" t="s">
        <v>34</v>
      </c>
      <c r="E169" s="191" t="s">
        <v>20</v>
      </c>
      <c r="F169" s="191" t="s">
        <v>54</v>
      </c>
      <c r="G169" s="191" t="s">
        <v>99</v>
      </c>
      <c r="H169" s="10"/>
      <c r="I169" s="10"/>
      <c r="J169" s="10"/>
      <c r="K169" s="10" t="s">
        <v>511</v>
      </c>
      <c r="L169" s="10"/>
      <c r="M169" s="10" t="s">
        <v>405</v>
      </c>
      <c r="N169" s="190"/>
      <c r="O169" s="190"/>
      <c r="P169" s="190">
        <v>511000</v>
      </c>
      <c r="Q169" s="190">
        <v>511000</v>
      </c>
      <c r="R169" s="190">
        <v>511000</v>
      </c>
      <c r="S169" s="190">
        <v>511000</v>
      </c>
    </row>
    <row r="170" spans="1:19" ht="135" x14ac:dyDescent="0.25">
      <c r="A170" s="305"/>
      <c r="B170" s="313"/>
      <c r="C170" s="305"/>
      <c r="D170" s="306"/>
      <c r="E170" s="231"/>
      <c r="F170" s="231"/>
      <c r="G170" s="231"/>
      <c r="H170" s="10"/>
      <c r="I170" s="10"/>
      <c r="J170" s="10"/>
      <c r="K170" s="10" t="s">
        <v>515</v>
      </c>
      <c r="L170" s="10"/>
      <c r="M170" s="10" t="s">
        <v>57</v>
      </c>
      <c r="N170" s="232"/>
      <c r="O170" s="232"/>
      <c r="P170" s="232"/>
      <c r="Q170" s="232"/>
      <c r="R170" s="232"/>
      <c r="S170" s="232"/>
    </row>
    <row r="171" spans="1:19" ht="135" x14ac:dyDescent="0.25">
      <c r="A171" s="295"/>
      <c r="B171" s="297"/>
      <c r="C171" s="295"/>
      <c r="D171" s="299"/>
      <c r="E171" s="231"/>
      <c r="F171" s="231"/>
      <c r="G171" s="231"/>
      <c r="H171" s="10"/>
      <c r="I171" s="10"/>
      <c r="J171" s="10"/>
      <c r="K171" s="10" t="s">
        <v>516</v>
      </c>
      <c r="L171" s="10"/>
      <c r="M171" s="10" t="s">
        <v>517</v>
      </c>
      <c r="N171" s="232"/>
      <c r="O171" s="232"/>
      <c r="P171" s="232"/>
      <c r="Q171" s="232"/>
      <c r="R171" s="232"/>
      <c r="S171" s="232"/>
    </row>
    <row r="172" spans="1:19" ht="90" x14ac:dyDescent="0.25">
      <c r="A172" s="294">
        <v>2555</v>
      </c>
      <c r="B172" s="294" t="s">
        <v>300</v>
      </c>
      <c r="C172" s="294">
        <v>911</v>
      </c>
      <c r="D172" s="298" t="s">
        <v>301</v>
      </c>
      <c r="E172" s="296" t="s">
        <v>20</v>
      </c>
      <c r="F172" s="296" t="s">
        <v>302</v>
      </c>
      <c r="G172" s="296" t="s">
        <v>99</v>
      </c>
      <c r="H172" s="10" t="s">
        <v>303</v>
      </c>
      <c r="I172" s="10" t="s">
        <v>304</v>
      </c>
      <c r="J172" s="10" t="s">
        <v>305</v>
      </c>
      <c r="K172" s="10" t="s">
        <v>29</v>
      </c>
      <c r="L172" s="10" t="s">
        <v>176</v>
      </c>
      <c r="M172" s="10" t="s">
        <v>30</v>
      </c>
      <c r="N172" s="292">
        <v>36387234.479999997</v>
      </c>
      <c r="O172" s="292">
        <v>35689645.409999996</v>
      </c>
      <c r="P172" s="50">
        <f>21460057-P169</f>
        <v>20949057</v>
      </c>
      <c r="Q172" s="274">
        <f>19647976-Q169</f>
        <v>19136976</v>
      </c>
      <c r="R172" s="274">
        <f>19447976-R169</f>
        <v>18936976</v>
      </c>
      <c r="S172" s="274">
        <f>19447976-S169</f>
        <v>18936976</v>
      </c>
    </row>
    <row r="173" spans="1:19" ht="30" x14ac:dyDescent="0.25">
      <c r="A173" s="305"/>
      <c r="B173" s="305"/>
      <c r="C173" s="305"/>
      <c r="D173" s="306"/>
      <c r="E173" s="313"/>
      <c r="F173" s="313"/>
      <c r="G173" s="313"/>
      <c r="H173" s="10"/>
      <c r="I173" s="10"/>
      <c r="J173" s="10"/>
      <c r="K173" s="27" t="s">
        <v>375</v>
      </c>
      <c r="L173" s="10"/>
      <c r="M173" s="10" t="s">
        <v>374</v>
      </c>
      <c r="N173" s="300"/>
      <c r="O173" s="300"/>
      <c r="P173" s="52"/>
      <c r="Q173" s="274"/>
      <c r="R173" s="274"/>
      <c r="S173" s="274"/>
    </row>
    <row r="174" spans="1:19" ht="75" x14ac:dyDescent="0.25">
      <c r="A174" s="305"/>
      <c r="B174" s="305"/>
      <c r="C174" s="305"/>
      <c r="D174" s="306"/>
      <c r="E174" s="313"/>
      <c r="F174" s="313"/>
      <c r="G174" s="313"/>
      <c r="H174" s="10"/>
      <c r="I174" s="10"/>
      <c r="J174" s="10"/>
      <c r="K174" s="27" t="s">
        <v>512</v>
      </c>
      <c r="L174" s="10"/>
      <c r="M174" s="10" t="s">
        <v>513</v>
      </c>
      <c r="N174" s="300"/>
      <c r="O174" s="300"/>
      <c r="P174" s="228"/>
      <c r="Q174" s="274"/>
      <c r="R174" s="274"/>
      <c r="S174" s="274"/>
    </row>
    <row r="175" spans="1:19" ht="120" x14ac:dyDescent="0.25">
      <c r="A175" s="305"/>
      <c r="B175" s="305"/>
      <c r="C175" s="305"/>
      <c r="D175" s="306"/>
      <c r="E175" s="297"/>
      <c r="F175" s="297"/>
      <c r="G175" s="297"/>
      <c r="H175" s="10"/>
      <c r="I175" s="10"/>
      <c r="J175" s="10"/>
      <c r="K175" s="219" t="s">
        <v>306</v>
      </c>
      <c r="L175" s="220"/>
      <c r="M175" s="10" t="s">
        <v>307</v>
      </c>
      <c r="N175" s="293"/>
      <c r="O175" s="293"/>
      <c r="P175" s="51"/>
      <c r="Q175" s="274"/>
      <c r="R175" s="274"/>
      <c r="S175" s="274"/>
    </row>
    <row r="176" spans="1:19" ht="150" x14ac:dyDescent="0.25">
      <c r="A176" s="283"/>
      <c r="B176" s="283"/>
      <c r="C176" s="283"/>
      <c r="D176" s="284"/>
      <c r="E176" s="282"/>
      <c r="F176" s="282"/>
      <c r="G176" s="282"/>
      <c r="H176" s="10"/>
      <c r="I176" s="10"/>
      <c r="J176" s="10"/>
      <c r="K176" s="219" t="s">
        <v>569</v>
      </c>
      <c r="L176" s="220"/>
      <c r="M176" s="10" t="s">
        <v>570</v>
      </c>
      <c r="N176" s="281"/>
      <c r="O176" s="281"/>
      <c r="P176" s="281"/>
      <c r="Q176" s="280"/>
      <c r="R176" s="280"/>
      <c r="S176" s="280"/>
    </row>
    <row r="177" spans="1:19" s="23" customFormat="1" ht="114" x14ac:dyDescent="0.2">
      <c r="A177" s="85">
        <v>2600</v>
      </c>
      <c r="B177" s="28" t="s">
        <v>542</v>
      </c>
      <c r="C177" s="17"/>
      <c r="D177" s="26"/>
      <c r="E177" s="17"/>
      <c r="F177" s="17"/>
      <c r="G177" s="17"/>
      <c r="H177" s="17"/>
      <c r="I177" s="17"/>
      <c r="J177" s="17"/>
      <c r="K177" s="17"/>
      <c r="L177" s="17"/>
      <c r="M177" s="17"/>
      <c r="N177" s="40">
        <f t="shared" ref="N177:S177" si="26">N178+N180</f>
        <v>29166722</v>
      </c>
      <c r="O177" s="40">
        <f t="shared" si="26"/>
        <v>29068143.68</v>
      </c>
      <c r="P177" s="40">
        <f t="shared" si="26"/>
        <v>31916578</v>
      </c>
      <c r="Q177" s="40">
        <f t="shared" si="26"/>
        <v>31644360</v>
      </c>
      <c r="R177" s="40">
        <f t="shared" si="26"/>
        <v>31491860</v>
      </c>
      <c r="S177" s="40">
        <f t="shared" si="26"/>
        <v>31491860</v>
      </c>
    </row>
    <row r="178" spans="1:19" ht="105" x14ac:dyDescent="0.25">
      <c r="A178" s="294" t="s">
        <v>531</v>
      </c>
      <c r="B178" s="296" t="s">
        <v>383</v>
      </c>
      <c r="C178" s="294">
        <v>911</v>
      </c>
      <c r="D178" s="298" t="s">
        <v>296</v>
      </c>
      <c r="E178" s="10" t="s">
        <v>20</v>
      </c>
      <c r="F178" s="10" t="s">
        <v>33</v>
      </c>
      <c r="G178" s="9" t="s">
        <v>21</v>
      </c>
      <c r="H178" s="10" t="s">
        <v>24</v>
      </c>
      <c r="I178" s="11" t="s">
        <v>25</v>
      </c>
      <c r="J178" s="9" t="s">
        <v>26</v>
      </c>
      <c r="K178" s="10" t="s">
        <v>29</v>
      </c>
      <c r="L178" s="4"/>
      <c r="M178" s="10" t="s">
        <v>30</v>
      </c>
      <c r="N178" s="292">
        <v>2982887</v>
      </c>
      <c r="O178" s="292">
        <v>2918683.71</v>
      </c>
      <c r="P178" s="97">
        <v>4010367</v>
      </c>
      <c r="Q178" s="97">
        <v>3986026</v>
      </c>
      <c r="R178" s="292">
        <v>3886026</v>
      </c>
      <c r="S178" s="292">
        <v>3886026</v>
      </c>
    </row>
    <row r="179" spans="1:19" ht="285" x14ac:dyDescent="0.25">
      <c r="A179" s="295"/>
      <c r="B179" s="297"/>
      <c r="C179" s="295"/>
      <c r="D179" s="299"/>
      <c r="E179" s="9" t="s">
        <v>22</v>
      </c>
      <c r="F179" s="7" t="s">
        <v>25</v>
      </c>
      <c r="G179" s="9" t="s">
        <v>23</v>
      </c>
      <c r="H179" s="10" t="s">
        <v>27</v>
      </c>
      <c r="I179" s="11" t="s">
        <v>25</v>
      </c>
      <c r="J179" s="10" t="s">
        <v>28</v>
      </c>
      <c r="K179" s="10" t="s">
        <v>297</v>
      </c>
      <c r="L179" s="11"/>
      <c r="M179" s="10" t="s">
        <v>298</v>
      </c>
      <c r="N179" s="293"/>
      <c r="O179" s="293"/>
      <c r="P179" s="98"/>
      <c r="Q179" s="98"/>
      <c r="R179" s="293"/>
      <c r="S179" s="293"/>
    </row>
    <row r="180" spans="1:19" ht="45" x14ac:dyDescent="0.25">
      <c r="A180" s="294">
        <v>2608</v>
      </c>
      <c r="B180" s="296" t="s">
        <v>384</v>
      </c>
      <c r="C180" s="294">
        <v>911</v>
      </c>
      <c r="D180" s="298" t="s">
        <v>296</v>
      </c>
      <c r="E180" s="296" t="s">
        <v>20</v>
      </c>
      <c r="F180" s="296" t="s">
        <v>35</v>
      </c>
      <c r="G180" s="296" t="s">
        <v>21</v>
      </c>
      <c r="H180" s="324"/>
      <c r="I180" s="294"/>
      <c r="J180" s="294"/>
      <c r="K180" s="10" t="s">
        <v>29</v>
      </c>
      <c r="L180" s="4"/>
      <c r="M180" s="10" t="s">
        <v>30</v>
      </c>
      <c r="N180" s="292">
        <v>26183835</v>
      </c>
      <c r="O180" s="292">
        <v>26149459.969999999</v>
      </c>
      <c r="P180" s="97">
        <v>27906211</v>
      </c>
      <c r="Q180" s="97">
        <v>27658334</v>
      </c>
      <c r="R180" s="292">
        <v>27605834</v>
      </c>
      <c r="S180" s="292">
        <v>27605834</v>
      </c>
    </row>
    <row r="181" spans="1:19" ht="60" x14ac:dyDescent="0.25">
      <c r="A181" s="295"/>
      <c r="B181" s="297"/>
      <c r="C181" s="295"/>
      <c r="D181" s="299"/>
      <c r="E181" s="297"/>
      <c r="F181" s="297"/>
      <c r="G181" s="297"/>
      <c r="H181" s="325"/>
      <c r="I181" s="295"/>
      <c r="J181" s="295"/>
      <c r="K181" s="10" t="s">
        <v>372</v>
      </c>
      <c r="L181" s="4"/>
      <c r="M181" s="10" t="s">
        <v>373</v>
      </c>
      <c r="N181" s="293"/>
      <c r="O181" s="293"/>
      <c r="P181" s="98"/>
      <c r="Q181" s="98"/>
      <c r="R181" s="293"/>
      <c r="S181" s="293"/>
    </row>
    <row r="182" spans="1:19" s="23" customFormat="1" ht="14.25" x14ac:dyDescent="0.2">
      <c r="A182" s="33"/>
      <c r="B182" s="32" t="s">
        <v>314</v>
      </c>
      <c r="C182" s="33">
        <v>915</v>
      </c>
      <c r="D182" s="34"/>
      <c r="E182" s="32"/>
      <c r="F182" s="32"/>
      <c r="G182" s="32"/>
      <c r="H182" s="32"/>
      <c r="I182" s="32"/>
      <c r="J182" s="32"/>
      <c r="K182" s="32"/>
      <c r="L182" s="32"/>
      <c r="M182" s="32"/>
      <c r="N182" s="41">
        <f t="shared" ref="N182:S182" si="27">N183+N195</f>
        <v>132087362</v>
      </c>
      <c r="O182" s="41">
        <f t="shared" si="27"/>
        <v>132059298.66000001</v>
      </c>
      <c r="P182" s="41">
        <f t="shared" si="27"/>
        <v>133914635</v>
      </c>
      <c r="Q182" s="41">
        <f t="shared" si="27"/>
        <v>131219645</v>
      </c>
      <c r="R182" s="41">
        <f t="shared" si="27"/>
        <v>129231424</v>
      </c>
      <c r="S182" s="41">
        <f t="shared" si="27"/>
        <v>129231424</v>
      </c>
    </row>
    <row r="183" spans="1:19" s="23" customFormat="1" ht="57" x14ac:dyDescent="0.2">
      <c r="A183" s="112">
        <v>2500</v>
      </c>
      <c r="B183" s="121" t="s">
        <v>541</v>
      </c>
      <c r="C183" s="17"/>
      <c r="D183" s="26"/>
      <c r="E183" s="17"/>
      <c r="F183" s="17"/>
      <c r="G183" s="17"/>
      <c r="H183" s="17"/>
      <c r="I183" s="17"/>
      <c r="J183" s="17"/>
      <c r="K183" s="17"/>
      <c r="L183" s="17"/>
      <c r="M183" s="17"/>
      <c r="N183" s="127">
        <f t="shared" ref="N183:S183" si="28">N184+N188+N191</f>
        <v>128923699</v>
      </c>
      <c r="O183" s="127">
        <f t="shared" si="28"/>
        <v>128918170.65000001</v>
      </c>
      <c r="P183" s="127">
        <f t="shared" si="28"/>
        <v>129762747</v>
      </c>
      <c r="Q183" s="127">
        <f t="shared" si="28"/>
        <v>127174403</v>
      </c>
      <c r="R183" s="127">
        <f>R184+R188+R191+R194</f>
        <v>125242682</v>
      </c>
      <c r="S183" s="127">
        <f t="shared" si="28"/>
        <v>125242682</v>
      </c>
    </row>
    <row r="184" spans="1:19" ht="90" customHeight="1" x14ac:dyDescent="0.25">
      <c r="A184" s="294">
        <v>2525</v>
      </c>
      <c r="B184" s="296" t="s">
        <v>551</v>
      </c>
      <c r="C184" s="294">
        <v>915</v>
      </c>
      <c r="D184" s="298" t="s">
        <v>299</v>
      </c>
      <c r="E184" s="10" t="s">
        <v>20</v>
      </c>
      <c r="F184" s="10" t="s">
        <v>171</v>
      </c>
      <c r="G184" s="10" t="s">
        <v>99</v>
      </c>
      <c r="H184" s="10" t="s">
        <v>174</v>
      </c>
      <c r="I184" s="10" t="s">
        <v>55</v>
      </c>
      <c r="J184" s="10" t="s">
        <v>175</v>
      </c>
      <c r="K184" s="10" t="s">
        <v>29</v>
      </c>
      <c r="L184" s="10" t="s">
        <v>176</v>
      </c>
      <c r="M184" s="74" t="s">
        <v>30</v>
      </c>
      <c r="N184" s="292">
        <v>49043053.439999998</v>
      </c>
      <c r="O184" s="292">
        <v>49043026.009999998</v>
      </c>
      <c r="P184" s="292">
        <v>45713861</v>
      </c>
      <c r="Q184" s="292">
        <v>44941048</v>
      </c>
      <c r="R184" s="292">
        <v>44376174</v>
      </c>
      <c r="S184" s="292">
        <v>44376174</v>
      </c>
    </row>
    <row r="185" spans="1:19" ht="120" x14ac:dyDescent="0.25">
      <c r="A185" s="305"/>
      <c r="B185" s="313"/>
      <c r="C185" s="305"/>
      <c r="D185" s="306"/>
      <c r="E185" s="10"/>
      <c r="F185" s="10"/>
      <c r="G185" s="10"/>
      <c r="H185" s="10"/>
      <c r="I185" s="10"/>
      <c r="J185" s="10"/>
      <c r="K185" s="27" t="s">
        <v>370</v>
      </c>
      <c r="L185" s="10"/>
      <c r="M185" s="74" t="s">
        <v>371</v>
      </c>
      <c r="N185" s="300"/>
      <c r="O185" s="300"/>
      <c r="P185" s="300"/>
      <c r="Q185" s="300"/>
      <c r="R185" s="300"/>
      <c r="S185" s="300"/>
    </row>
    <row r="186" spans="1:19" ht="135" x14ac:dyDescent="0.25">
      <c r="A186" s="305"/>
      <c r="B186" s="313"/>
      <c r="C186" s="305"/>
      <c r="D186" s="306"/>
      <c r="E186" s="10"/>
      <c r="F186" s="10"/>
      <c r="G186" s="10"/>
      <c r="H186" s="10"/>
      <c r="I186" s="10"/>
      <c r="J186" s="10"/>
      <c r="K186" s="73" t="s">
        <v>514</v>
      </c>
      <c r="L186" s="73"/>
      <c r="M186" s="230" t="s">
        <v>493</v>
      </c>
      <c r="N186" s="300"/>
      <c r="O186" s="300"/>
      <c r="P186" s="300"/>
      <c r="Q186" s="300"/>
      <c r="R186" s="300"/>
      <c r="S186" s="300"/>
    </row>
    <row r="187" spans="1:19" ht="60" x14ac:dyDescent="0.25">
      <c r="A187" s="295"/>
      <c r="B187" s="297"/>
      <c r="C187" s="295"/>
      <c r="D187" s="299"/>
      <c r="E187" s="10"/>
      <c r="F187" s="10"/>
      <c r="G187" s="10"/>
      <c r="H187" s="10"/>
      <c r="I187" s="10"/>
      <c r="J187" s="10"/>
      <c r="K187" s="216" t="s">
        <v>503</v>
      </c>
      <c r="L187" s="216"/>
      <c r="M187" s="218">
        <v>44218</v>
      </c>
      <c r="N187" s="293"/>
      <c r="O187" s="293"/>
      <c r="P187" s="293"/>
      <c r="Q187" s="293"/>
      <c r="R187" s="293"/>
      <c r="S187" s="293"/>
    </row>
    <row r="188" spans="1:19" ht="165" x14ac:dyDescent="0.25">
      <c r="A188" s="294">
        <v>2530</v>
      </c>
      <c r="B188" s="296" t="s">
        <v>317</v>
      </c>
      <c r="C188" s="294">
        <v>915</v>
      </c>
      <c r="D188" s="298" t="s">
        <v>318</v>
      </c>
      <c r="E188" s="10" t="s">
        <v>20</v>
      </c>
      <c r="F188" s="10" t="s">
        <v>319</v>
      </c>
      <c r="G188" s="10" t="s">
        <v>99</v>
      </c>
      <c r="H188" s="10" t="s">
        <v>325</v>
      </c>
      <c r="I188" s="10" t="s">
        <v>312</v>
      </c>
      <c r="J188" s="10" t="s">
        <v>326</v>
      </c>
      <c r="K188" s="10" t="s">
        <v>327</v>
      </c>
      <c r="L188" s="10"/>
      <c r="M188" s="10" t="s">
        <v>328</v>
      </c>
      <c r="N188" s="300">
        <v>37759516</v>
      </c>
      <c r="O188" s="300">
        <v>37759515.869999997</v>
      </c>
      <c r="P188" s="292">
        <v>39221553</v>
      </c>
      <c r="Q188" s="292">
        <v>38451132</v>
      </c>
      <c r="R188" s="300">
        <v>37811132</v>
      </c>
      <c r="S188" s="300">
        <v>37811132</v>
      </c>
    </row>
    <row r="189" spans="1:19" ht="135" x14ac:dyDescent="0.25">
      <c r="A189" s="305"/>
      <c r="B189" s="313"/>
      <c r="C189" s="305"/>
      <c r="D189" s="306"/>
      <c r="E189" s="10" t="s">
        <v>320</v>
      </c>
      <c r="F189" s="10" t="s">
        <v>55</v>
      </c>
      <c r="G189" s="10" t="s">
        <v>321</v>
      </c>
      <c r="H189" s="10"/>
      <c r="I189" s="10"/>
      <c r="J189" s="10"/>
      <c r="K189" s="10" t="s">
        <v>329</v>
      </c>
      <c r="L189" s="10"/>
      <c r="M189" s="10" t="s">
        <v>328</v>
      </c>
      <c r="N189" s="300"/>
      <c r="O189" s="300"/>
      <c r="P189" s="300"/>
      <c r="Q189" s="300"/>
      <c r="R189" s="300"/>
      <c r="S189" s="300"/>
    </row>
    <row r="190" spans="1:19" ht="120" x14ac:dyDescent="0.25">
      <c r="A190" s="305"/>
      <c r="B190" s="313"/>
      <c r="C190" s="305"/>
      <c r="D190" s="306"/>
      <c r="E190" s="10" t="s">
        <v>322</v>
      </c>
      <c r="F190" s="10" t="s">
        <v>324</v>
      </c>
      <c r="G190" s="10" t="s">
        <v>323</v>
      </c>
      <c r="H190" s="10"/>
      <c r="I190" s="10"/>
      <c r="J190" s="10"/>
      <c r="K190" s="216" t="s">
        <v>330</v>
      </c>
      <c r="L190" s="10"/>
      <c r="M190" s="10" t="s">
        <v>331</v>
      </c>
      <c r="N190" s="300"/>
      <c r="O190" s="300"/>
      <c r="P190" s="293"/>
      <c r="Q190" s="293"/>
      <c r="R190" s="300"/>
      <c r="S190" s="300"/>
    </row>
    <row r="191" spans="1:19" ht="105" x14ac:dyDescent="0.25">
      <c r="A191" s="294">
        <v>2531</v>
      </c>
      <c r="B191" s="296" t="s">
        <v>332</v>
      </c>
      <c r="C191" s="294">
        <v>915</v>
      </c>
      <c r="D191" s="298" t="s">
        <v>318</v>
      </c>
      <c r="E191" s="10" t="s">
        <v>20</v>
      </c>
      <c r="F191" s="10" t="s">
        <v>333</v>
      </c>
      <c r="G191" s="10" t="s">
        <v>99</v>
      </c>
      <c r="H191" s="10" t="s">
        <v>255</v>
      </c>
      <c r="I191" s="10" t="s">
        <v>337</v>
      </c>
      <c r="J191" s="10" t="s">
        <v>256</v>
      </c>
      <c r="K191" s="10" t="s">
        <v>338</v>
      </c>
      <c r="L191" s="10"/>
      <c r="M191" s="10" t="s">
        <v>328</v>
      </c>
      <c r="N191" s="292">
        <f>79880645.56-N188</f>
        <v>42121129.560000002</v>
      </c>
      <c r="O191" s="292">
        <f>79875144.64-O188</f>
        <v>42115628.770000003</v>
      </c>
      <c r="P191" s="50">
        <f>84048886-P188</f>
        <v>44827333</v>
      </c>
      <c r="Q191" s="50">
        <f>82233355-Q188</f>
        <v>43782223</v>
      </c>
      <c r="R191" s="292">
        <f>80866508-R188-R194</f>
        <v>43055376</v>
      </c>
      <c r="S191" s="292">
        <v>43055376</v>
      </c>
    </row>
    <row r="192" spans="1:19" ht="150" x14ac:dyDescent="0.25">
      <c r="A192" s="305"/>
      <c r="B192" s="313"/>
      <c r="C192" s="305"/>
      <c r="D192" s="306"/>
      <c r="E192" s="10" t="s">
        <v>334</v>
      </c>
      <c r="F192" s="10" t="s">
        <v>335</v>
      </c>
      <c r="G192" s="10" t="s">
        <v>336</v>
      </c>
      <c r="H192" s="10"/>
      <c r="I192" s="10"/>
      <c r="J192" s="10"/>
      <c r="K192" s="10" t="s">
        <v>339</v>
      </c>
      <c r="L192" s="10"/>
      <c r="M192" s="10" t="s">
        <v>328</v>
      </c>
      <c r="N192" s="300"/>
      <c r="O192" s="300"/>
      <c r="P192" s="52"/>
      <c r="Q192" s="52"/>
      <c r="R192" s="300"/>
      <c r="S192" s="300"/>
    </row>
    <row r="193" spans="1:19" ht="150" x14ac:dyDescent="0.25">
      <c r="A193" s="295"/>
      <c r="B193" s="297"/>
      <c r="C193" s="295"/>
      <c r="D193" s="299"/>
      <c r="E193" s="10"/>
      <c r="F193" s="10"/>
      <c r="G193" s="10"/>
      <c r="H193" s="10"/>
      <c r="I193" s="10"/>
      <c r="J193" s="10"/>
      <c r="K193" s="10" t="s">
        <v>340</v>
      </c>
      <c r="L193" s="10"/>
      <c r="M193" s="10" t="s">
        <v>328</v>
      </c>
      <c r="N193" s="293"/>
      <c r="O193" s="293"/>
      <c r="P193" s="51"/>
      <c r="Q193" s="51"/>
      <c r="R193" s="293"/>
      <c r="S193" s="293"/>
    </row>
    <row r="194" spans="1:19" ht="180" x14ac:dyDescent="0.25">
      <c r="A194" s="264">
        <v>2538</v>
      </c>
      <c r="B194" s="266" t="s">
        <v>556</v>
      </c>
      <c r="C194" s="265">
        <v>915</v>
      </c>
      <c r="D194" s="267" t="s">
        <v>318</v>
      </c>
      <c r="E194" s="10" t="s">
        <v>557</v>
      </c>
      <c r="F194" s="10"/>
      <c r="G194" s="10" t="s">
        <v>558</v>
      </c>
      <c r="H194" s="10" t="s">
        <v>559</v>
      </c>
      <c r="I194" s="10"/>
      <c r="J194" s="10" t="s">
        <v>560</v>
      </c>
      <c r="K194" s="10"/>
      <c r="L194" s="10"/>
      <c r="M194" s="10"/>
      <c r="N194" s="268"/>
      <c r="O194" s="268"/>
      <c r="P194" s="268"/>
      <c r="Q194" s="268"/>
      <c r="R194" s="268">
        <v>0</v>
      </c>
      <c r="S194" s="268"/>
    </row>
    <row r="195" spans="1:19" s="23" customFormat="1" ht="114" x14ac:dyDescent="0.2">
      <c r="A195" s="85">
        <v>2600</v>
      </c>
      <c r="B195" s="28" t="s">
        <v>542</v>
      </c>
      <c r="C195" s="17"/>
      <c r="D195" s="26"/>
      <c r="E195" s="17"/>
      <c r="F195" s="17"/>
      <c r="G195" s="17"/>
      <c r="H195" s="17"/>
      <c r="I195" s="17"/>
      <c r="J195" s="17"/>
      <c r="K195" s="17"/>
      <c r="L195" s="17"/>
      <c r="M195" s="17"/>
      <c r="N195" s="40">
        <f t="shared" ref="N195:S195" si="29">N196</f>
        <v>3163663</v>
      </c>
      <c r="O195" s="40">
        <f t="shared" si="29"/>
        <v>3141128.01</v>
      </c>
      <c r="P195" s="40">
        <f t="shared" si="29"/>
        <v>4151888</v>
      </c>
      <c r="Q195" s="40">
        <f t="shared" si="29"/>
        <v>4045242</v>
      </c>
      <c r="R195" s="40">
        <f t="shared" si="29"/>
        <v>3988742</v>
      </c>
      <c r="S195" s="40">
        <f t="shared" si="29"/>
        <v>3988742</v>
      </c>
    </row>
    <row r="196" spans="1:19" ht="105" x14ac:dyDescent="0.25">
      <c r="A196" s="294" t="s">
        <v>531</v>
      </c>
      <c r="B196" s="296" t="s">
        <v>383</v>
      </c>
      <c r="C196" s="294">
        <v>915</v>
      </c>
      <c r="D196" s="298" t="s">
        <v>315</v>
      </c>
      <c r="E196" s="10" t="s">
        <v>20</v>
      </c>
      <c r="F196" s="10" t="s">
        <v>33</v>
      </c>
      <c r="G196" s="9" t="s">
        <v>21</v>
      </c>
      <c r="H196" s="10" t="s">
        <v>24</v>
      </c>
      <c r="I196" s="11" t="s">
        <v>25</v>
      </c>
      <c r="J196" s="9" t="s">
        <v>26</v>
      </c>
      <c r="K196" s="10" t="s">
        <v>29</v>
      </c>
      <c r="L196" s="4"/>
      <c r="M196" s="10" t="s">
        <v>30</v>
      </c>
      <c r="N196" s="354">
        <v>3163663</v>
      </c>
      <c r="O196" s="354">
        <v>3141128.01</v>
      </c>
      <c r="P196" s="292">
        <v>4151888</v>
      </c>
      <c r="Q196" s="292">
        <v>4045242</v>
      </c>
      <c r="R196" s="354">
        <v>3988742</v>
      </c>
      <c r="S196" s="354">
        <v>3988742</v>
      </c>
    </row>
    <row r="197" spans="1:19" ht="285" x14ac:dyDescent="0.25">
      <c r="A197" s="295"/>
      <c r="B197" s="297"/>
      <c r="C197" s="295"/>
      <c r="D197" s="299"/>
      <c r="E197" s="9" t="s">
        <v>22</v>
      </c>
      <c r="F197" s="7" t="s">
        <v>25</v>
      </c>
      <c r="G197" s="9" t="s">
        <v>23</v>
      </c>
      <c r="H197" s="10" t="s">
        <v>27</v>
      </c>
      <c r="I197" s="11" t="s">
        <v>25</v>
      </c>
      <c r="J197" s="10" t="s">
        <v>28</v>
      </c>
      <c r="K197" s="10" t="s">
        <v>316</v>
      </c>
      <c r="L197" s="11"/>
      <c r="M197" s="10" t="s">
        <v>298</v>
      </c>
      <c r="N197" s="355"/>
      <c r="O197" s="355"/>
      <c r="P197" s="293"/>
      <c r="Q197" s="293"/>
      <c r="R197" s="355"/>
      <c r="S197" s="355"/>
    </row>
    <row r="198" spans="1:19" s="23" customFormat="1" ht="28.5" x14ac:dyDescent="0.2">
      <c r="A198" s="33"/>
      <c r="B198" s="32" t="s">
        <v>341</v>
      </c>
      <c r="C198" s="33">
        <v>916</v>
      </c>
      <c r="D198" s="34"/>
      <c r="E198" s="32"/>
      <c r="F198" s="32"/>
      <c r="G198" s="32"/>
      <c r="H198" s="32"/>
      <c r="I198" s="32"/>
      <c r="J198" s="32"/>
      <c r="K198" s="32"/>
      <c r="L198" s="32"/>
      <c r="M198" s="32"/>
      <c r="N198" s="41">
        <f t="shared" ref="N198:S198" si="30">N199+N207</f>
        <v>12208383</v>
      </c>
      <c r="O198" s="41">
        <f t="shared" si="30"/>
        <v>12076488.82</v>
      </c>
      <c r="P198" s="41">
        <f t="shared" si="30"/>
        <v>14746578</v>
      </c>
      <c r="Q198" s="41">
        <f t="shared" si="30"/>
        <v>12746578</v>
      </c>
      <c r="R198" s="41">
        <f t="shared" si="30"/>
        <v>12546578</v>
      </c>
      <c r="S198" s="41">
        <f t="shared" si="30"/>
        <v>12546578</v>
      </c>
    </row>
    <row r="199" spans="1:19" s="23" customFormat="1" ht="57" x14ac:dyDescent="0.2">
      <c r="A199" s="112">
        <v>2500</v>
      </c>
      <c r="B199" s="121" t="s">
        <v>541</v>
      </c>
      <c r="C199" s="35"/>
      <c r="D199" s="36"/>
      <c r="E199" s="35"/>
      <c r="F199" s="35"/>
      <c r="G199" s="35"/>
      <c r="H199" s="35"/>
      <c r="I199" s="35"/>
      <c r="J199" s="35"/>
      <c r="K199" s="35"/>
      <c r="L199" s="35"/>
      <c r="M199" s="35"/>
      <c r="N199" s="45">
        <f t="shared" ref="N199:S199" si="31">N203+N205+N200</f>
        <v>1687595</v>
      </c>
      <c r="O199" s="45">
        <f t="shared" si="31"/>
        <v>1606350</v>
      </c>
      <c r="P199" s="45">
        <f t="shared" si="31"/>
        <v>2200000</v>
      </c>
      <c r="Q199" s="45">
        <f t="shared" si="31"/>
        <v>2200000</v>
      </c>
      <c r="R199" s="45">
        <f t="shared" si="31"/>
        <v>2200000</v>
      </c>
      <c r="S199" s="45">
        <f t="shared" si="31"/>
        <v>2200000</v>
      </c>
    </row>
    <row r="200" spans="1:19" ht="270" x14ac:dyDescent="0.25">
      <c r="A200" s="294">
        <v>2504</v>
      </c>
      <c r="B200" s="296" t="s">
        <v>98</v>
      </c>
      <c r="C200" s="337">
        <v>916</v>
      </c>
      <c r="D200" s="356" t="s">
        <v>34</v>
      </c>
      <c r="E200" s="10" t="s">
        <v>20</v>
      </c>
      <c r="F200" s="10" t="s">
        <v>102</v>
      </c>
      <c r="G200" s="10" t="s">
        <v>99</v>
      </c>
      <c r="H200" s="10" t="s">
        <v>109</v>
      </c>
      <c r="I200" s="10" t="s">
        <v>55</v>
      </c>
      <c r="J200" s="10" t="s">
        <v>26</v>
      </c>
      <c r="K200" s="10" t="s">
        <v>424</v>
      </c>
      <c r="L200" s="10"/>
      <c r="M200" s="10" t="s">
        <v>114</v>
      </c>
      <c r="N200" s="321">
        <v>0</v>
      </c>
      <c r="O200" s="321">
        <v>0</v>
      </c>
      <c r="P200" s="292">
        <v>500000</v>
      </c>
      <c r="Q200" s="292">
        <v>500000</v>
      </c>
      <c r="R200" s="321">
        <v>500000</v>
      </c>
      <c r="S200" s="321">
        <v>500000</v>
      </c>
    </row>
    <row r="201" spans="1:19" ht="105" x14ac:dyDescent="0.25">
      <c r="A201" s="305"/>
      <c r="B201" s="313"/>
      <c r="C201" s="353"/>
      <c r="D201" s="357"/>
      <c r="E201" s="10" t="s">
        <v>100</v>
      </c>
      <c r="F201" s="10" t="s">
        <v>101</v>
      </c>
      <c r="G201" s="10" t="s">
        <v>103</v>
      </c>
      <c r="H201" s="10" t="s">
        <v>110</v>
      </c>
      <c r="I201" s="10" t="s">
        <v>55</v>
      </c>
      <c r="J201" s="10" t="s">
        <v>111</v>
      </c>
      <c r="K201" s="10" t="s">
        <v>458</v>
      </c>
      <c r="L201" s="10"/>
      <c r="M201" s="10" t="s">
        <v>459</v>
      </c>
      <c r="N201" s="322"/>
      <c r="O201" s="322"/>
      <c r="P201" s="300"/>
      <c r="Q201" s="300"/>
      <c r="R201" s="322"/>
      <c r="S201" s="322"/>
    </row>
    <row r="202" spans="1:19" ht="195" x14ac:dyDescent="0.25">
      <c r="A202" s="305"/>
      <c r="B202" s="313"/>
      <c r="C202" s="338"/>
      <c r="D202" s="358"/>
      <c r="E202" s="10" t="s">
        <v>104</v>
      </c>
      <c r="F202" s="10" t="s">
        <v>105</v>
      </c>
      <c r="G202" s="10" t="s">
        <v>106</v>
      </c>
      <c r="H202" s="10" t="s">
        <v>112</v>
      </c>
      <c r="I202" s="10" t="s">
        <v>55</v>
      </c>
      <c r="J202" s="10" t="s">
        <v>113</v>
      </c>
      <c r="K202" s="10" t="s">
        <v>117</v>
      </c>
      <c r="L202" s="10"/>
      <c r="M202" s="10" t="s">
        <v>118</v>
      </c>
      <c r="N202" s="323"/>
      <c r="O202" s="323"/>
      <c r="P202" s="293"/>
      <c r="Q202" s="293"/>
      <c r="R202" s="323"/>
      <c r="S202" s="323"/>
    </row>
    <row r="203" spans="1:19" ht="75" x14ac:dyDescent="0.25">
      <c r="A203" s="294">
        <v>2544</v>
      </c>
      <c r="B203" s="296" t="s">
        <v>123</v>
      </c>
      <c r="C203" s="294">
        <v>916</v>
      </c>
      <c r="D203" s="298" t="s">
        <v>124</v>
      </c>
      <c r="E203" s="296" t="s">
        <v>20</v>
      </c>
      <c r="F203" s="296" t="s">
        <v>125</v>
      </c>
      <c r="G203" s="296" t="s">
        <v>99</v>
      </c>
      <c r="H203" s="10" t="s">
        <v>126</v>
      </c>
      <c r="I203" s="10" t="s">
        <v>127</v>
      </c>
      <c r="J203" s="10" t="s">
        <v>128</v>
      </c>
      <c r="K203" s="10" t="s">
        <v>29</v>
      </c>
      <c r="L203" s="10"/>
      <c r="M203" s="10" t="s">
        <v>38</v>
      </c>
      <c r="N203" s="292">
        <v>1280600</v>
      </c>
      <c r="O203" s="292">
        <v>1280600</v>
      </c>
      <c r="P203" s="50">
        <v>1300000</v>
      </c>
      <c r="Q203" s="50">
        <v>1300000</v>
      </c>
      <c r="R203" s="292">
        <v>1300000</v>
      </c>
      <c r="S203" s="292">
        <v>1300000</v>
      </c>
    </row>
    <row r="204" spans="1:19" ht="75" x14ac:dyDescent="0.25">
      <c r="A204" s="295"/>
      <c r="B204" s="297"/>
      <c r="C204" s="295"/>
      <c r="D204" s="299"/>
      <c r="E204" s="297"/>
      <c r="F204" s="297"/>
      <c r="G204" s="297"/>
      <c r="H204" s="10"/>
      <c r="I204" s="10"/>
      <c r="J204" s="10"/>
      <c r="K204" s="10" t="s">
        <v>129</v>
      </c>
      <c r="L204" s="10"/>
      <c r="M204" s="10" t="s">
        <v>130</v>
      </c>
      <c r="N204" s="293"/>
      <c r="O204" s="293"/>
      <c r="P204" s="51"/>
      <c r="Q204" s="51"/>
      <c r="R204" s="293"/>
      <c r="S204" s="293"/>
    </row>
    <row r="205" spans="1:19" ht="90" x14ac:dyDescent="0.25">
      <c r="A205" s="294">
        <v>2545</v>
      </c>
      <c r="B205" s="296" t="s">
        <v>342</v>
      </c>
      <c r="C205" s="294">
        <v>916</v>
      </c>
      <c r="D205" s="298" t="s">
        <v>34</v>
      </c>
      <c r="E205" s="10" t="s">
        <v>20</v>
      </c>
      <c r="F205" s="10" t="s">
        <v>54</v>
      </c>
      <c r="G205" s="10" t="s">
        <v>99</v>
      </c>
      <c r="H205" s="294"/>
      <c r="I205" s="294"/>
      <c r="J205" s="294"/>
      <c r="K205" s="20" t="s">
        <v>346</v>
      </c>
      <c r="L205" s="10"/>
      <c r="M205" s="10" t="s">
        <v>347</v>
      </c>
      <c r="N205" s="292">
        <v>406995</v>
      </c>
      <c r="O205" s="292">
        <v>325750</v>
      </c>
      <c r="P205" s="50">
        <v>400000</v>
      </c>
      <c r="Q205" s="50">
        <v>400000</v>
      </c>
      <c r="R205" s="292">
        <v>400000</v>
      </c>
      <c r="S205" s="292">
        <v>400000</v>
      </c>
    </row>
    <row r="206" spans="1:19" ht="45" x14ac:dyDescent="0.25">
      <c r="A206" s="295"/>
      <c r="B206" s="297"/>
      <c r="C206" s="295"/>
      <c r="D206" s="299"/>
      <c r="E206" s="10" t="s">
        <v>343</v>
      </c>
      <c r="F206" s="10" t="s">
        <v>344</v>
      </c>
      <c r="G206" s="10" t="s">
        <v>345</v>
      </c>
      <c r="H206" s="295"/>
      <c r="I206" s="295"/>
      <c r="J206" s="295"/>
      <c r="K206" s="9"/>
      <c r="L206" s="10"/>
      <c r="M206" s="10"/>
      <c r="N206" s="293"/>
      <c r="O206" s="293"/>
      <c r="P206" s="51"/>
      <c r="Q206" s="51"/>
      <c r="R206" s="293"/>
      <c r="S206" s="293"/>
    </row>
    <row r="207" spans="1:19" s="23" customFormat="1" ht="114" x14ac:dyDescent="0.2">
      <c r="A207" s="85">
        <v>2600</v>
      </c>
      <c r="B207" s="28" t="s">
        <v>542</v>
      </c>
      <c r="C207" s="35"/>
      <c r="D207" s="36"/>
      <c r="E207" s="35"/>
      <c r="F207" s="35"/>
      <c r="G207" s="35"/>
      <c r="H207" s="35"/>
      <c r="I207" s="35"/>
      <c r="J207" s="35"/>
      <c r="K207" s="35"/>
      <c r="L207" s="35"/>
      <c r="M207" s="35"/>
      <c r="N207" s="45">
        <f t="shared" ref="N207:S207" si="32">N208</f>
        <v>10520788</v>
      </c>
      <c r="O207" s="45">
        <f t="shared" si="32"/>
        <v>10470138.82</v>
      </c>
      <c r="P207" s="45">
        <f t="shared" si="32"/>
        <v>12546578</v>
      </c>
      <c r="Q207" s="45">
        <f t="shared" si="32"/>
        <v>10546578</v>
      </c>
      <c r="R207" s="45">
        <f t="shared" si="32"/>
        <v>10346578</v>
      </c>
      <c r="S207" s="45">
        <f t="shared" si="32"/>
        <v>10346578</v>
      </c>
    </row>
    <row r="208" spans="1:19" ht="105" x14ac:dyDescent="0.25">
      <c r="A208" s="294" t="s">
        <v>531</v>
      </c>
      <c r="B208" s="296" t="s">
        <v>382</v>
      </c>
      <c r="C208" s="294">
        <v>916</v>
      </c>
      <c r="D208" s="21" t="s">
        <v>34</v>
      </c>
      <c r="E208" s="10" t="s">
        <v>20</v>
      </c>
      <c r="F208" s="10" t="s">
        <v>33</v>
      </c>
      <c r="G208" s="9" t="s">
        <v>21</v>
      </c>
      <c r="H208" s="10" t="s">
        <v>24</v>
      </c>
      <c r="I208" s="11" t="s">
        <v>25</v>
      </c>
      <c r="J208" s="9" t="s">
        <v>26</v>
      </c>
      <c r="K208" s="10" t="s">
        <v>29</v>
      </c>
      <c r="L208" s="10"/>
      <c r="M208" s="10" t="s">
        <v>30</v>
      </c>
      <c r="N208" s="292">
        <v>10520788</v>
      </c>
      <c r="O208" s="292">
        <v>10470138.82</v>
      </c>
      <c r="P208" s="97">
        <v>12546578</v>
      </c>
      <c r="Q208" s="97">
        <v>10546578</v>
      </c>
      <c r="R208" s="292">
        <v>10346578</v>
      </c>
      <c r="S208" s="292">
        <v>10346578</v>
      </c>
    </row>
    <row r="209" spans="1:19" ht="285" x14ac:dyDescent="0.25">
      <c r="A209" s="295"/>
      <c r="B209" s="297"/>
      <c r="C209" s="295"/>
      <c r="D209" s="21"/>
      <c r="E209" s="9" t="s">
        <v>22</v>
      </c>
      <c r="F209" s="7" t="s">
        <v>25</v>
      </c>
      <c r="G209" s="9" t="s">
        <v>23</v>
      </c>
      <c r="H209" s="10" t="s">
        <v>27</v>
      </c>
      <c r="I209" s="11" t="s">
        <v>25</v>
      </c>
      <c r="J209" s="10" t="s">
        <v>28</v>
      </c>
      <c r="K209" s="10" t="s">
        <v>458</v>
      </c>
      <c r="L209" s="10"/>
      <c r="M209" s="10" t="s">
        <v>459</v>
      </c>
      <c r="N209" s="293"/>
      <c r="O209" s="293"/>
      <c r="P209" s="98"/>
      <c r="Q209" s="98"/>
      <c r="R209" s="293"/>
      <c r="S209" s="293"/>
    </row>
    <row r="210" spans="1:19" s="23" customFormat="1" ht="14.25" x14ac:dyDescent="0.2">
      <c r="A210" s="33"/>
      <c r="B210" s="32" t="s">
        <v>349</v>
      </c>
      <c r="C210" s="33">
        <v>917</v>
      </c>
      <c r="D210" s="34"/>
      <c r="E210" s="32"/>
      <c r="F210" s="32"/>
      <c r="G210" s="32"/>
      <c r="H210" s="32"/>
      <c r="I210" s="32"/>
      <c r="J210" s="32"/>
      <c r="K210" s="32"/>
      <c r="L210" s="32"/>
      <c r="M210" s="32"/>
      <c r="N210" s="41">
        <f>N211</f>
        <v>5370318</v>
      </c>
      <c r="O210" s="41">
        <f t="shared" ref="O210:S211" si="33">O211</f>
        <v>5370318</v>
      </c>
      <c r="P210" s="41">
        <f t="shared" si="33"/>
        <v>7877063</v>
      </c>
      <c r="Q210" s="41">
        <f t="shared" si="33"/>
        <v>7694363</v>
      </c>
      <c r="R210" s="41">
        <f t="shared" si="33"/>
        <v>7575363</v>
      </c>
      <c r="S210" s="41">
        <f t="shared" si="33"/>
        <v>7575363</v>
      </c>
    </row>
    <row r="211" spans="1:19" s="23" customFormat="1" ht="114" x14ac:dyDescent="0.2">
      <c r="A211" s="85">
        <v>2600</v>
      </c>
      <c r="B211" s="28" t="s">
        <v>542</v>
      </c>
      <c r="C211" s="17"/>
      <c r="D211" s="26"/>
      <c r="E211" s="17"/>
      <c r="F211" s="17"/>
      <c r="G211" s="17"/>
      <c r="H211" s="17"/>
      <c r="I211" s="17"/>
      <c r="J211" s="17"/>
      <c r="K211" s="17"/>
      <c r="L211" s="17"/>
      <c r="M211" s="17"/>
      <c r="N211" s="40">
        <f>N212</f>
        <v>5370318</v>
      </c>
      <c r="O211" s="40">
        <f t="shared" si="33"/>
        <v>5370318</v>
      </c>
      <c r="P211" s="40">
        <f t="shared" si="33"/>
        <v>7877063</v>
      </c>
      <c r="Q211" s="40">
        <f t="shared" si="33"/>
        <v>7694363</v>
      </c>
      <c r="R211" s="40">
        <f t="shared" si="33"/>
        <v>7575363</v>
      </c>
      <c r="S211" s="40">
        <f t="shared" si="33"/>
        <v>7575363</v>
      </c>
    </row>
    <row r="212" spans="1:19" ht="105" x14ac:dyDescent="0.25">
      <c r="A212" s="294" t="s">
        <v>531</v>
      </c>
      <c r="B212" s="296" t="s">
        <v>383</v>
      </c>
      <c r="C212" s="294">
        <v>917</v>
      </c>
      <c r="D212" s="298" t="s">
        <v>350</v>
      </c>
      <c r="E212" s="10" t="s">
        <v>20</v>
      </c>
      <c r="F212" s="10" t="s">
        <v>33</v>
      </c>
      <c r="G212" s="9" t="s">
        <v>21</v>
      </c>
      <c r="H212" s="10" t="s">
        <v>24</v>
      </c>
      <c r="I212" s="11" t="s">
        <v>25</v>
      </c>
      <c r="J212" s="9" t="s">
        <v>26</v>
      </c>
      <c r="K212" s="10" t="s">
        <v>29</v>
      </c>
      <c r="L212" s="10"/>
      <c r="M212" s="10" t="s">
        <v>38</v>
      </c>
      <c r="N212" s="292">
        <v>5370318</v>
      </c>
      <c r="O212" s="292">
        <v>5370318</v>
      </c>
      <c r="P212" s="50">
        <v>7877063</v>
      </c>
      <c r="Q212" s="50">
        <v>7694363</v>
      </c>
      <c r="R212" s="292">
        <v>7575363</v>
      </c>
      <c r="S212" s="292">
        <v>7575363</v>
      </c>
    </row>
    <row r="213" spans="1:19" ht="285" x14ac:dyDescent="0.25">
      <c r="A213" s="295"/>
      <c r="B213" s="297"/>
      <c r="C213" s="295"/>
      <c r="D213" s="299"/>
      <c r="E213" s="9" t="s">
        <v>22</v>
      </c>
      <c r="F213" s="7" t="s">
        <v>25</v>
      </c>
      <c r="G213" s="9" t="s">
        <v>23</v>
      </c>
      <c r="H213" s="10" t="s">
        <v>27</v>
      </c>
      <c r="I213" s="11" t="s">
        <v>25</v>
      </c>
      <c r="J213" s="10" t="s">
        <v>28</v>
      </c>
      <c r="K213" s="27"/>
      <c r="L213" s="10"/>
      <c r="M213" s="10"/>
      <c r="N213" s="293"/>
      <c r="O213" s="293"/>
      <c r="P213" s="51"/>
      <c r="Q213" s="51"/>
      <c r="R213" s="293"/>
      <c r="S213" s="293"/>
    </row>
    <row r="214" spans="1:19" s="23" customFormat="1" ht="28.5" x14ac:dyDescent="0.2">
      <c r="A214" s="33"/>
      <c r="B214" s="32" t="s">
        <v>352</v>
      </c>
      <c r="C214" s="33">
        <v>918</v>
      </c>
      <c r="D214" s="34"/>
      <c r="E214" s="32"/>
      <c r="F214" s="32"/>
      <c r="G214" s="32"/>
      <c r="H214" s="32"/>
      <c r="I214" s="32"/>
      <c r="J214" s="32"/>
      <c r="K214" s="32"/>
      <c r="L214" s="32"/>
      <c r="M214" s="32"/>
      <c r="N214" s="41">
        <f>N215</f>
        <v>1943710</v>
      </c>
      <c r="O214" s="41">
        <f t="shared" ref="O214:S215" si="34">O215</f>
        <v>1943710</v>
      </c>
      <c r="P214" s="41">
        <f t="shared" si="34"/>
        <v>2165724</v>
      </c>
      <c r="Q214" s="41">
        <f t="shared" si="34"/>
        <v>2158452</v>
      </c>
      <c r="R214" s="41">
        <f t="shared" si="34"/>
        <v>2117052</v>
      </c>
      <c r="S214" s="41">
        <f t="shared" si="34"/>
        <v>2117052</v>
      </c>
    </row>
    <row r="215" spans="1:19" s="23" customFormat="1" ht="114" x14ac:dyDescent="0.2">
      <c r="A215" s="85">
        <v>2600</v>
      </c>
      <c r="B215" s="28" t="s">
        <v>542</v>
      </c>
      <c r="C215" s="17"/>
      <c r="D215" s="26"/>
      <c r="E215" s="17"/>
      <c r="F215" s="17"/>
      <c r="G215" s="17"/>
      <c r="H215" s="17"/>
      <c r="I215" s="17"/>
      <c r="J215" s="17"/>
      <c r="K215" s="17"/>
      <c r="L215" s="17"/>
      <c r="M215" s="17"/>
      <c r="N215" s="40">
        <f>N216</f>
        <v>1943710</v>
      </c>
      <c r="O215" s="40">
        <f t="shared" si="34"/>
        <v>1943710</v>
      </c>
      <c r="P215" s="40">
        <f t="shared" si="34"/>
        <v>2165724</v>
      </c>
      <c r="Q215" s="40">
        <f t="shared" si="34"/>
        <v>2158452</v>
      </c>
      <c r="R215" s="40">
        <f t="shared" si="34"/>
        <v>2117052</v>
      </c>
      <c r="S215" s="40">
        <f t="shared" si="34"/>
        <v>2117052</v>
      </c>
    </row>
    <row r="216" spans="1:19" ht="105" x14ac:dyDescent="0.25">
      <c r="A216" s="294" t="s">
        <v>531</v>
      </c>
      <c r="B216" s="296" t="s">
        <v>383</v>
      </c>
      <c r="C216" s="294">
        <v>918</v>
      </c>
      <c r="D216" s="298" t="s">
        <v>351</v>
      </c>
      <c r="E216" s="10" t="s">
        <v>20</v>
      </c>
      <c r="F216" s="10" t="s">
        <v>33</v>
      </c>
      <c r="G216" s="9" t="s">
        <v>21</v>
      </c>
      <c r="H216" s="10" t="s">
        <v>24</v>
      </c>
      <c r="I216" s="11" t="s">
        <v>25</v>
      </c>
      <c r="J216" s="9" t="s">
        <v>26</v>
      </c>
      <c r="K216" s="10" t="s">
        <v>29</v>
      </c>
      <c r="L216" s="10"/>
      <c r="M216" s="10"/>
      <c r="N216" s="292">
        <v>1943710</v>
      </c>
      <c r="O216" s="292">
        <v>1943710</v>
      </c>
      <c r="P216" s="50">
        <v>2165724</v>
      </c>
      <c r="Q216" s="50">
        <v>2158452</v>
      </c>
      <c r="R216" s="292">
        <v>2117052</v>
      </c>
      <c r="S216" s="292">
        <v>2117052</v>
      </c>
    </row>
    <row r="217" spans="1:19" ht="285" x14ac:dyDescent="0.25">
      <c r="A217" s="295"/>
      <c r="B217" s="297"/>
      <c r="C217" s="295"/>
      <c r="D217" s="299"/>
      <c r="E217" s="9" t="s">
        <v>22</v>
      </c>
      <c r="F217" s="7" t="s">
        <v>25</v>
      </c>
      <c r="G217" s="9" t="s">
        <v>23</v>
      </c>
      <c r="H217" s="10" t="s">
        <v>27</v>
      </c>
      <c r="I217" s="11" t="s">
        <v>25</v>
      </c>
      <c r="J217" s="10" t="s">
        <v>28</v>
      </c>
      <c r="K217" s="10" t="s">
        <v>143</v>
      </c>
      <c r="L217" s="10"/>
      <c r="M217" s="10" t="s">
        <v>144</v>
      </c>
      <c r="N217" s="293"/>
      <c r="O217" s="293"/>
      <c r="P217" s="51"/>
      <c r="Q217" s="51"/>
      <c r="R217" s="293"/>
      <c r="S217" s="293"/>
    </row>
    <row r="218" spans="1:19" x14ac:dyDescent="0.25">
      <c r="A218" s="84">
        <v>2500</v>
      </c>
      <c r="B218" s="287" t="s">
        <v>417</v>
      </c>
      <c r="C218" s="290"/>
      <c r="D218" s="290"/>
      <c r="E218" s="290"/>
      <c r="F218" s="290"/>
      <c r="G218" s="290"/>
      <c r="H218" s="290"/>
      <c r="I218" s="290"/>
      <c r="J218" s="290"/>
      <c r="K218" s="290"/>
      <c r="L218" s="290"/>
      <c r="M218" s="291"/>
      <c r="N218" s="46">
        <f t="shared" ref="N218:S218" si="35">N10+N47+N63+N74+N82+N120+N161+N183+N199</f>
        <v>1224377195.8600001</v>
      </c>
      <c r="O218" s="46">
        <f t="shared" si="35"/>
        <v>1198754114.9000001</v>
      </c>
      <c r="P218" s="46">
        <f t="shared" si="35"/>
        <v>1147820928</v>
      </c>
      <c r="Q218" s="46">
        <f t="shared" si="35"/>
        <v>1010957608</v>
      </c>
      <c r="R218" s="46">
        <f t="shared" si="35"/>
        <v>965320657</v>
      </c>
      <c r="S218" s="46">
        <f t="shared" si="35"/>
        <v>965320657</v>
      </c>
    </row>
    <row r="219" spans="1:19" x14ac:dyDescent="0.25">
      <c r="A219" s="16">
        <v>2600</v>
      </c>
      <c r="B219" s="287" t="s">
        <v>542</v>
      </c>
      <c r="C219" s="290"/>
      <c r="D219" s="290"/>
      <c r="E219" s="290"/>
      <c r="F219" s="290"/>
      <c r="G219" s="290"/>
      <c r="H219" s="290"/>
      <c r="I219" s="290"/>
      <c r="J219" s="290"/>
      <c r="K219" s="290"/>
      <c r="L219" s="290"/>
      <c r="M219" s="291"/>
      <c r="N219" s="46">
        <f t="shared" ref="N219:S219" si="36">N25+N55+N65+N97+N117+N150+N177+N195+N207+N211+N215</f>
        <v>199531841.28999999</v>
      </c>
      <c r="O219" s="46">
        <f t="shared" si="36"/>
        <v>195871415.25</v>
      </c>
      <c r="P219" s="46">
        <f t="shared" si="36"/>
        <v>249586172</v>
      </c>
      <c r="Q219" s="46">
        <f t="shared" si="36"/>
        <v>244343534</v>
      </c>
      <c r="R219" s="46">
        <f t="shared" si="36"/>
        <v>200331634</v>
      </c>
      <c r="S219" s="46">
        <f t="shared" si="36"/>
        <v>200331634</v>
      </c>
    </row>
    <row r="220" spans="1:19" x14ac:dyDescent="0.25">
      <c r="A220" s="85">
        <v>3100</v>
      </c>
      <c r="B220" s="287" t="s">
        <v>535</v>
      </c>
      <c r="C220" s="288"/>
      <c r="D220" s="288"/>
      <c r="E220" s="288"/>
      <c r="F220" s="288"/>
      <c r="G220" s="288"/>
      <c r="H220" s="288"/>
      <c r="I220" s="288"/>
      <c r="J220" s="288"/>
      <c r="K220" s="288"/>
      <c r="L220" s="288"/>
      <c r="M220" s="289"/>
      <c r="N220" s="250">
        <f t="shared" ref="N220:S220" si="37">N33</f>
        <v>46400</v>
      </c>
      <c r="O220" s="250">
        <f t="shared" si="37"/>
        <v>0</v>
      </c>
      <c r="P220" s="250">
        <f t="shared" si="37"/>
        <v>516200</v>
      </c>
      <c r="Q220" s="250">
        <f t="shared" si="37"/>
        <v>17900</v>
      </c>
      <c r="R220" s="250">
        <f t="shared" si="37"/>
        <v>0</v>
      </c>
      <c r="S220" s="250">
        <f t="shared" si="37"/>
        <v>0</v>
      </c>
    </row>
    <row r="221" spans="1:19" x14ac:dyDescent="0.25">
      <c r="A221" s="16">
        <v>3200</v>
      </c>
      <c r="B221" s="333" t="s">
        <v>415</v>
      </c>
      <c r="C221" s="333"/>
      <c r="D221" s="333"/>
      <c r="E221" s="333"/>
      <c r="F221" s="333"/>
      <c r="G221" s="333"/>
      <c r="H221" s="333"/>
      <c r="I221" s="333"/>
      <c r="J221" s="333"/>
      <c r="K221" s="333"/>
      <c r="L221" s="333"/>
      <c r="M221" s="333"/>
      <c r="N221" s="255">
        <f t="shared" ref="N221:S221" si="38">N37+N59+N155+N101</f>
        <v>121148664.69</v>
      </c>
      <c r="O221" s="255">
        <f t="shared" si="38"/>
        <v>109498250.42</v>
      </c>
      <c r="P221" s="255">
        <f t="shared" si="38"/>
        <v>199824500</v>
      </c>
      <c r="Q221" s="255">
        <f t="shared" si="38"/>
        <v>231044300</v>
      </c>
      <c r="R221" s="255">
        <f t="shared" si="38"/>
        <v>130812400</v>
      </c>
      <c r="S221" s="255">
        <f t="shared" si="38"/>
        <v>130812400</v>
      </c>
    </row>
    <row r="222" spans="1:19" x14ac:dyDescent="0.25">
      <c r="A222" s="16">
        <v>3400</v>
      </c>
      <c r="B222" s="287" t="s">
        <v>536</v>
      </c>
      <c r="C222" s="290"/>
      <c r="D222" s="290"/>
      <c r="E222" s="290"/>
      <c r="F222" s="290"/>
      <c r="G222" s="290"/>
      <c r="H222" s="290"/>
      <c r="I222" s="290"/>
      <c r="J222" s="290"/>
      <c r="K222" s="290"/>
      <c r="L222" s="290"/>
      <c r="M222" s="291"/>
      <c r="N222" s="255">
        <f t="shared" ref="N222:S222" si="39">N110</f>
        <v>900281405</v>
      </c>
      <c r="O222" s="255">
        <f t="shared" si="39"/>
        <v>900192737.22000003</v>
      </c>
      <c r="P222" s="255">
        <f t="shared" si="39"/>
        <v>953622500</v>
      </c>
      <c r="Q222" s="255">
        <f t="shared" si="39"/>
        <v>953622500</v>
      </c>
      <c r="R222" s="255">
        <f t="shared" si="39"/>
        <v>953622500</v>
      </c>
      <c r="S222" s="255">
        <f t="shared" si="39"/>
        <v>953622500</v>
      </c>
    </row>
    <row r="223" spans="1:19" ht="15.75" thickBot="1" x14ac:dyDescent="0.3">
      <c r="A223" s="253"/>
      <c r="B223" s="326" t="s">
        <v>365</v>
      </c>
      <c r="C223" s="327"/>
      <c r="D223" s="327"/>
      <c r="E223" s="327"/>
      <c r="F223" s="327"/>
      <c r="G223" s="327"/>
      <c r="H223" s="327"/>
      <c r="I223" s="327"/>
      <c r="J223" s="327"/>
      <c r="K223" s="327"/>
      <c r="L223" s="327"/>
      <c r="M223" s="328"/>
      <c r="N223" s="254">
        <f t="shared" ref="N223:S223" si="40">SUM(N218:N221)+N222</f>
        <v>2445385506.8400002</v>
      </c>
      <c r="O223" s="254">
        <f t="shared" si="40"/>
        <v>2404316517.79</v>
      </c>
      <c r="P223" s="254">
        <f t="shared" si="40"/>
        <v>2551370300</v>
      </c>
      <c r="Q223" s="254">
        <f t="shared" si="40"/>
        <v>2439985842</v>
      </c>
      <c r="R223" s="254">
        <f t="shared" si="40"/>
        <v>2250087191</v>
      </c>
      <c r="S223" s="254">
        <f t="shared" si="40"/>
        <v>2250087191</v>
      </c>
    </row>
    <row r="224" spans="1:19" hidden="1" x14ac:dyDescent="0.25">
      <c r="N224" s="47">
        <f t="shared" ref="N224:S224" si="41">N214+N210+N198+N182+N160+N119+N116+N81+N73+N62+N46+N9</f>
        <v>2445385506.8400006</v>
      </c>
      <c r="O224" s="47">
        <f t="shared" si="41"/>
        <v>2404316517.79</v>
      </c>
      <c r="P224" s="47">
        <f t="shared" si="41"/>
        <v>2551370300</v>
      </c>
      <c r="Q224" s="47">
        <f t="shared" si="41"/>
        <v>2439985842</v>
      </c>
      <c r="R224" s="47">
        <f t="shared" si="41"/>
        <v>2250087191</v>
      </c>
      <c r="S224" s="47">
        <f t="shared" si="41"/>
        <v>2250087191</v>
      </c>
    </row>
    <row r="225" spans="14:19" hidden="1" x14ac:dyDescent="0.25">
      <c r="N225" s="19">
        <f t="shared" ref="N225:S225" si="42">N223-N224</f>
        <v>0</v>
      </c>
      <c r="O225" s="19">
        <f t="shared" si="42"/>
        <v>0</v>
      </c>
      <c r="P225" s="19">
        <f t="shared" si="42"/>
        <v>0</v>
      </c>
      <c r="Q225" s="19">
        <f t="shared" si="42"/>
        <v>0</v>
      </c>
      <c r="R225" s="19">
        <f t="shared" si="42"/>
        <v>0</v>
      </c>
      <c r="S225" s="19">
        <f t="shared" si="42"/>
        <v>0</v>
      </c>
    </row>
    <row r="226" spans="14:19" hidden="1" x14ac:dyDescent="0.25">
      <c r="N226" s="19">
        <v>2445385506.8400002</v>
      </c>
      <c r="O226" s="19">
        <v>2404316517.79</v>
      </c>
      <c r="P226" s="130">
        <v>2728038322.6999998</v>
      </c>
      <c r="Q226" s="130">
        <f>2456707715.23-26800000</f>
        <v>2429907715.23</v>
      </c>
      <c r="R226" s="130">
        <f>2389651888.9-52000000</f>
        <v>2337651888.9000001</v>
      </c>
      <c r="S226" s="130">
        <f>2231159314-52000000</f>
        <v>2179159314</v>
      </c>
    </row>
    <row r="227" spans="14:19" hidden="1" x14ac:dyDescent="0.25">
      <c r="N227" s="130">
        <f>N224-N226</f>
        <v>0</v>
      </c>
      <c r="O227" s="130">
        <f>O224-O226</f>
        <v>0</v>
      </c>
      <c r="P227" s="130">
        <f>P224-P226</f>
        <v>-176668022.69999981</v>
      </c>
      <c r="Q227" s="130">
        <f>Q223-Q226</f>
        <v>10078126.769999981</v>
      </c>
      <c r="R227" s="130">
        <f>R223-R226</f>
        <v>-87564697.900000095</v>
      </c>
      <c r="S227" s="1">
        <f>S223-S226</f>
        <v>70927877</v>
      </c>
    </row>
    <row r="228" spans="14:19" x14ac:dyDescent="0.25">
      <c r="Q228" s="130">
        <v>28600000</v>
      </c>
      <c r="R228" s="130">
        <v>57700000</v>
      </c>
      <c r="S228" s="130">
        <v>57700000</v>
      </c>
    </row>
    <row r="229" spans="14:19" x14ac:dyDescent="0.25">
      <c r="Q229" s="130">
        <f>Q223+Q228</f>
        <v>2468585842</v>
      </c>
      <c r="R229" s="130">
        <f t="shared" ref="R229:S229" si="43">R223+R228</f>
        <v>2307787191</v>
      </c>
      <c r="S229" s="130">
        <f t="shared" si="43"/>
        <v>2307787191</v>
      </c>
    </row>
  </sheetData>
  <mergeCells count="546">
    <mergeCell ref="D145:D146"/>
    <mergeCell ref="B153:B154"/>
    <mergeCell ref="C153:C154"/>
    <mergeCell ref="D153:D154"/>
    <mergeCell ref="N153:N154"/>
    <mergeCell ref="A145:A146"/>
    <mergeCell ref="N145:N146"/>
    <mergeCell ref="A162:A164"/>
    <mergeCell ref="B162:B164"/>
    <mergeCell ref="C162:C164"/>
    <mergeCell ref="H158:H159"/>
    <mergeCell ref="A153:A154"/>
    <mergeCell ref="D158:D159"/>
    <mergeCell ref="E158:E159"/>
    <mergeCell ref="F158:F159"/>
    <mergeCell ref="G158:G159"/>
    <mergeCell ref="A56:A58"/>
    <mergeCell ref="O19:O21"/>
    <mergeCell ref="P19:P21"/>
    <mergeCell ref="Q19:Q21"/>
    <mergeCell ref="A142:A144"/>
    <mergeCell ref="B142:B144"/>
    <mergeCell ref="C142:C144"/>
    <mergeCell ref="D142:D144"/>
    <mergeCell ref="A134:A136"/>
    <mergeCell ref="A140:A141"/>
    <mergeCell ref="B140:B141"/>
    <mergeCell ref="C134:C136"/>
    <mergeCell ref="C140:C141"/>
    <mergeCell ref="D140:D141"/>
    <mergeCell ref="A137:A139"/>
    <mergeCell ref="B137:B139"/>
    <mergeCell ref="C137:C139"/>
    <mergeCell ref="N69:N70"/>
    <mergeCell ref="N134:N136"/>
    <mergeCell ref="Q130:Q131"/>
    <mergeCell ref="P137:P139"/>
    <mergeCell ref="Q137:Q139"/>
    <mergeCell ref="P140:P141"/>
    <mergeCell ref="Q140:Q141"/>
    <mergeCell ref="S43:S44"/>
    <mergeCell ref="O41:O42"/>
    <mergeCell ref="R41:R42"/>
    <mergeCell ref="D11:D12"/>
    <mergeCell ref="E11:E12"/>
    <mergeCell ref="O17:O18"/>
    <mergeCell ref="P17:P18"/>
    <mergeCell ref="N26:N27"/>
    <mergeCell ref="Q22:Q24"/>
    <mergeCell ref="R22:R24"/>
    <mergeCell ref="S22:S24"/>
    <mergeCell ref="G28:G29"/>
    <mergeCell ref="N28:N29"/>
    <mergeCell ref="O28:O29"/>
    <mergeCell ref="R28:R29"/>
    <mergeCell ref="S28:S29"/>
    <mergeCell ref="E14:E15"/>
    <mergeCell ref="F14:F15"/>
    <mergeCell ref="G14:G15"/>
    <mergeCell ref="N14:N15"/>
    <mergeCell ref="Q17:Q18"/>
    <mergeCell ref="R17:R18"/>
    <mergeCell ref="S41:S42"/>
    <mergeCell ref="S30:S31"/>
    <mergeCell ref="E134:E136"/>
    <mergeCell ref="F134:F136"/>
    <mergeCell ref="G134:G136"/>
    <mergeCell ref="H134:H136"/>
    <mergeCell ref="I134:I136"/>
    <mergeCell ref="B134:B136"/>
    <mergeCell ref="N130:N131"/>
    <mergeCell ref="R19:R21"/>
    <mergeCell ref="O43:O44"/>
    <mergeCell ref="O48:O51"/>
    <mergeCell ref="N30:N31"/>
    <mergeCell ref="O30:O31"/>
    <mergeCell ref="P30:P31"/>
    <mergeCell ref="Q30:Q31"/>
    <mergeCell ref="R30:R31"/>
    <mergeCell ref="O26:O27"/>
    <mergeCell ref="R26:R27"/>
    <mergeCell ref="N43:N44"/>
    <mergeCell ref="O22:O24"/>
    <mergeCell ref="N34:N35"/>
    <mergeCell ref="E28:E29"/>
    <mergeCell ref="C30:C31"/>
    <mergeCell ref="E41:E42"/>
    <mergeCell ref="R43:R44"/>
    <mergeCell ref="A130:A131"/>
    <mergeCell ref="B130:B131"/>
    <mergeCell ref="C130:C131"/>
    <mergeCell ref="S140:S141"/>
    <mergeCell ref="S137:S139"/>
    <mergeCell ref="Q71:Q72"/>
    <mergeCell ref="R71:R72"/>
    <mergeCell ref="S71:S72"/>
    <mergeCell ref="N75:N77"/>
    <mergeCell ref="I78:I79"/>
    <mergeCell ref="B75:B77"/>
    <mergeCell ref="B78:B79"/>
    <mergeCell ref="C128:C129"/>
    <mergeCell ref="N98:N99"/>
    <mergeCell ref="C78:C79"/>
    <mergeCell ref="D78:D79"/>
    <mergeCell ref="C121:C123"/>
    <mergeCell ref="N121:N123"/>
    <mergeCell ref="B83:B87"/>
    <mergeCell ref="C83:C87"/>
    <mergeCell ref="D83:D87"/>
    <mergeCell ref="N83:N87"/>
    <mergeCell ref="O83:O87"/>
    <mergeCell ref="H121:H122"/>
    <mergeCell ref="S124:S127"/>
    <mergeCell ref="O130:O131"/>
    <mergeCell ref="R69:R70"/>
    <mergeCell ref="Q134:Q136"/>
    <mergeCell ref="R134:R136"/>
    <mergeCell ref="O69:O70"/>
    <mergeCell ref="P69:P70"/>
    <mergeCell ref="Q69:Q70"/>
    <mergeCell ref="Q98:Q99"/>
    <mergeCell ref="R98:R99"/>
    <mergeCell ref="O134:O136"/>
    <mergeCell ref="R128:R129"/>
    <mergeCell ref="R124:R127"/>
    <mergeCell ref="S75:S77"/>
    <mergeCell ref="P124:P127"/>
    <mergeCell ref="O75:O77"/>
    <mergeCell ref="R75:R77"/>
    <mergeCell ref="R78:R79"/>
    <mergeCell ref="O98:O99"/>
    <mergeCell ref="O95:O96"/>
    <mergeCell ref="S78:S79"/>
    <mergeCell ref="R83:R87"/>
    <mergeCell ref="S83:S87"/>
    <mergeCell ref="S69:S70"/>
    <mergeCell ref="S208:S209"/>
    <mergeCell ref="O216:O217"/>
    <mergeCell ref="R162:R163"/>
    <mergeCell ref="S162:S163"/>
    <mergeCell ref="O162:O163"/>
    <mergeCell ref="O178:O179"/>
    <mergeCell ref="R178:R179"/>
    <mergeCell ref="S178:S179"/>
    <mergeCell ref="S216:S217"/>
    <mergeCell ref="R216:R217"/>
    <mergeCell ref="S188:S190"/>
    <mergeCell ref="S191:S193"/>
    <mergeCell ref="R212:R213"/>
    <mergeCell ref="S212:S213"/>
    <mergeCell ref="S203:S204"/>
    <mergeCell ref="S205:S206"/>
    <mergeCell ref="O196:O197"/>
    <mergeCell ref="R196:R197"/>
    <mergeCell ref="S196:S197"/>
    <mergeCell ref="P188:P190"/>
    <mergeCell ref="S180:S181"/>
    <mergeCell ref="S200:S202"/>
    <mergeCell ref="R205:R206"/>
    <mergeCell ref="R188:R190"/>
    <mergeCell ref="O188:O190"/>
    <mergeCell ref="R191:R193"/>
    <mergeCell ref="O184:O187"/>
    <mergeCell ref="P184:P187"/>
    <mergeCell ref="Q184:Q187"/>
    <mergeCell ref="R180:R181"/>
    <mergeCell ref="O191:O193"/>
    <mergeCell ref="Q188:Q190"/>
    <mergeCell ref="P196:P197"/>
    <mergeCell ref="Q196:Q197"/>
    <mergeCell ref="A184:A187"/>
    <mergeCell ref="B184:B187"/>
    <mergeCell ref="C184:C187"/>
    <mergeCell ref="D184:D187"/>
    <mergeCell ref="A191:A193"/>
    <mergeCell ref="B191:B193"/>
    <mergeCell ref="C191:C193"/>
    <mergeCell ref="D191:D193"/>
    <mergeCell ref="A212:A213"/>
    <mergeCell ref="B212:B213"/>
    <mergeCell ref="C205:C206"/>
    <mergeCell ref="D205:D206"/>
    <mergeCell ref="N212:N213"/>
    <mergeCell ref="O212:O213"/>
    <mergeCell ref="C212:C213"/>
    <mergeCell ref="D212:D213"/>
    <mergeCell ref="A208:A209"/>
    <mergeCell ref="B208:B209"/>
    <mergeCell ref="C208:C209"/>
    <mergeCell ref="N208:N209"/>
    <mergeCell ref="O208:O209"/>
    <mergeCell ref="O205:O206"/>
    <mergeCell ref="N203:N204"/>
    <mergeCell ref="I205:I206"/>
    <mergeCell ref="A200:A202"/>
    <mergeCell ref="B200:B202"/>
    <mergeCell ref="C200:C202"/>
    <mergeCell ref="D200:D202"/>
    <mergeCell ref="O203:O204"/>
    <mergeCell ref="J205:J206"/>
    <mergeCell ref="H205:H206"/>
    <mergeCell ref="A180:A181"/>
    <mergeCell ref="A216:A217"/>
    <mergeCell ref="B216:B217"/>
    <mergeCell ref="C216:C217"/>
    <mergeCell ref="D216:D217"/>
    <mergeCell ref="N216:N217"/>
    <mergeCell ref="N205:N206"/>
    <mergeCell ref="A203:A204"/>
    <mergeCell ref="A196:A197"/>
    <mergeCell ref="B196:B197"/>
    <mergeCell ref="C196:C197"/>
    <mergeCell ref="D196:D197"/>
    <mergeCell ref="N196:N197"/>
    <mergeCell ref="B203:B204"/>
    <mergeCell ref="C203:C204"/>
    <mergeCell ref="D203:D204"/>
    <mergeCell ref="E203:E204"/>
    <mergeCell ref="F203:F204"/>
    <mergeCell ref="G203:G204"/>
    <mergeCell ref="B180:B181"/>
    <mergeCell ref="C180:C181"/>
    <mergeCell ref="D180:D181"/>
    <mergeCell ref="A205:A206"/>
    <mergeCell ref="B205:B206"/>
    <mergeCell ref="A178:A179"/>
    <mergeCell ref="B178:B179"/>
    <mergeCell ref="C178:C179"/>
    <mergeCell ref="D178:D179"/>
    <mergeCell ref="A169:A171"/>
    <mergeCell ref="B169:B171"/>
    <mergeCell ref="C169:C171"/>
    <mergeCell ref="D169:D171"/>
    <mergeCell ref="A5:A7"/>
    <mergeCell ref="B5:B7"/>
    <mergeCell ref="C6:C7"/>
    <mergeCell ref="D6:D7"/>
    <mergeCell ref="A34:A35"/>
    <mergeCell ref="B34:B35"/>
    <mergeCell ref="C34:C35"/>
    <mergeCell ref="D34:D35"/>
    <mergeCell ref="A22:A24"/>
    <mergeCell ref="B22:B24"/>
    <mergeCell ref="C22:C24"/>
    <mergeCell ref="D22:D24"/>
    <mergeCell ref="A19:A21"/>
    <mergeCell ref="B19:B21"/>
    <mergeCell ref="C19:C21"/>
    <mergeCell ref="D19:D21"/>
    <mergeCell ref="A4:B4"/>
    <mergeCell ref="N191:N193"/>
    <mergeCell ref="C145:C146"/>
    <mergeCell ref="A151:A152"/>
    <mergeCell ref="B151:B152"/>
    <mergeCell ref="C151:C152"/>
    <mergeCell ref="D151:D152"/>
    <mergeCell ref="A158:A159"/>
    <mergeCell ref="B158:B159"/>
    <mergeCell ref="N184:N187"/>
    <mergeCell ref="N162:N163"/>
    <mergeCell ref="N188:N190"/>
    <mergeCell ref="A172:A175"/>
    <mergeCell ref="B172:B175"/>
    <mergeCell ref="C172:C175"/>
    <mergeCell ref="D172:D175"/>
    <mergeCell ref="A188:A190"/>
    <mergeCell ref="B188:B190"/>
    <mergeCell ref="C188:C190"/>
    <mergeCell ref="D188:D190"/>
    <mergeCell ref="B17:B18"/>
    <mergeCell ref="C17:C18"/>
    <mergeCell ref="D17:D18"/>
    <mergeCell ref="N17:N18"/>
    <mergeCell ref="C2:P2"/>
    <mergeCell ref="K6:K7"/>
    <mergeCell ref="L6:L7"/>
    <mergeCell ref="M6:M7"/>
    <mergeCell ref="N6:O6"/>
    <mergeCell ref="C5:D5"/>
    <mergeCell ref="C11:C12"/>
    <mergeCell ref="Q6:S6"/>
    <mergeCell ref="N5:S5"/>
    <mergeCell ref="E6:E7"/>
    <mergeCell ref="F6:F7"/>
    <mergeCell ref="G6:G7"/>
    <mergeCell ref="H6:H7"/>
    <mergeCell ref="I6:I7"/>
    <mergeCell ref="J6:J7"/>
    <mergeCell ref="E5:G5"/>
    <mergeCell ref="H5:J5"/>
    <mergeCell ref="K5:M5"/>
    <mergeCell ref="S11:S13"/>
    <mergeCell ref="S26:S27"/>
    <mergeCell ref="F41:F42"/>
    <mergeCell ref="F28:F29"/>
    <mergeCell ref="N11:N13"/>
    <mergeCell ref="O11:O13"/>
    <mergeCell ref="P11:P13"/>
    <mergeCell ref="Q11:Q13"/>
    <mergeCell ref="R11:R13"/>
    <mergeCell ref="O34:O35"/>
    <mergeCell ref="R34:R35"/>
    <mergeCell ref="O14:O15"/>
    <mergeCell ref="S19:S21"/>
    <mergeCell ref="N19:N21"/>
    <mergeCell ref="N22:N24"/>
    <mergeCell ref="F22:F24"/>
    <mergeCell ref="G22:G24"/>
    <mergeCell ref="R14:R15"/>
    <mergeCell ref="S14:S15"/>
    <mergeCell ref="F11:F12"/>
    <mergeCell ref="G11:G12"/>
    <mergeCell ref="S17:S18"/>
    <mergeCell ref="P22:P24"/>
    <mergeCell ref="G41:G42"/>
    <mergeCell ref="E22:E24"/>
    <mergeCell ref="A14:A16"/>
    <mergeCell ref="B14:B16"/>
    <mergeCell ref="C14:C16"/>
    <mergeCell ref="D14:D16"/>
    <mergeCell ref="A17:A18"/>
    <mergeCell ref="A26:A27"/>
    <mergeCell ref="B26:B27"/>
    <mergeCell ref="C26:C27"/>
    <mergeCell ref="D26:D27"/>
    <mergeCell ref="B28:B29"/>
    <mergeCell ref="C28:C29"/>
    <mergeCell ref="A28:A29"/>
    <mergeCell ref="D30:D31"/>
    <mergeCell ref="D28:D29"/>
    <mergeCell ref="A30:A31"/>
    <mergeCell ref="B30:B31"/>
    <mergeCell ref="A43:A44"/>
    <mergeCell ref="B43:B44"/>
    <mergeCell ref="C43:C44"/>
    <mergeCell ref="D43:D44"/>
    <mergeCell ref="D48:D51"/>
    <mergeCell ref="A53:A54"/>
    <mergeCell ref="N41:N42"/>
    <mergeCell ref="N48:N51"/>
    <mergeCell ref="A48:A51"/>
    <mergeCell ref="B48:B51"/>
    <mergeCell ref="C48:C51"/>
    <mergeCell ref="B53:B54"/>
    <mergeCell ref="C53:C54"/>
    <mergeCell ref="D53:D54"/>
    <mergeCell ref="B41:B42"/>
    <mergeCell ref="C41:C42"/>
    <mergeCell ref="D41:D42"/>
    <mergeCell ref="B56:B58"/>
    <mergeCell ref="C56:C58"/>
    <mergeCell ref="D60:D61"/>
    <mergeCell ref="D56:D58"/>
    <mergeCell ref="F66:F67"/>
    <mergeCell ref="G66:G67"/>
    <mergeCell ref="F60:F61"/>
    <mergeCell ref="G60:G61"/>
    <mergeCell ref="F56:F57"/>
    <mergeCell ref="G56:G57"/>
    <mergeCell ref="B223:M223"/>
    <mergeCell ref="B218:M218"/>
    <mergeCell ref="D128:D129"/>
    <mergeCell ref="D124:D127"/>
    <mergeCell ref="B121:B123"/>
    <mergeCell ref="C124:C127"/>
    <mergeCell ref="H137:H139"/>
    <mergeCell ref="D121:D123"/>
    <mergeCell ref="D130:D131"/>
    <mergeCell ref="D134:D136"/>
    <mergeCell ref="D137:D139"/>
    <mergeCell ref="E137:E139"/>
    <mergeCell ref="F137:F139"/>
    <mergeCell ref="G137:G139"/>
    <mergeCell ref="I137:I139"/>
    <mergeCell ref="J137:J139"/>
    <mergeCell ref="B145:B146"/>
    <mergeCell ref="I158:I159"/>
    <mergeCell ref="B221:M221"/>
    <mergeCell ref="J158:J159"/>
    <mergeCell ref="B219:M219"/>
    <mergeCell ref="C158:C159"/>
    <mergeCell ref="B124:B127"/>
    <mergeCell ref="B128:B129"/>
    <mergeCell ref="E172:E175"/>
    <mergeCell ref="F172:F175"/>
    <mergeCell ref="G172:G175"/>
    <mergeCell ref="D162:D164"/>
    <mergeCell ref="E180:E181"/>
    <mergeCell ref="F180:F181"/>
    <mergeCell ref="G180:G181"/>
    <mergeCell ref="H180:H181"/>
    <mergeCell ref="I180:I181"/>
    <mergeCell ref="J180:J181"/>
    <mergeCell ref="N200:N202"/>
    <mergeCell ref="R203:R204"/>
    <mergeCell ref="O128:O129"/>
    <mergeCell ref="Q124:Q127"/>
    <mergeCell ref="P128:P129"/>
    <mergeCell ref="P130:P131"/>
    <mergeCell ref="O124:O127"/>
    <mergeCell ref="N124:N127"/>
    <mergeCell ref="R130:R131"/>
    <mergeCell ref="R140:R141"/>
    <mergeCell ref="O172:O175"/>
    <mergeCell ref="N172:N175"/>
    <mergeCell ref="P200:P202"/>
    <mergeCell ref="Q200:Q202"/>
    <mergeCell ref="P134:P136"/>
    <mergeCell ref="O158:O159"/>
    <mergeCell ref="N180:N181"/>
    <mergeCell ref="N178:N179"/>
    <mergeCell ref="N158:N159"/>
    <mergeCell ref="J134:J136"/>
    <mergeCell ref="O200:O202"/>
    <mergeCell ref="R200:R202"/>
    <mergeCell ref="O180:O181"/>
    <mergeCell ref="J56:J57"/>
    <mergeCell ref="I69:I70"/>
    <mergeCell ref="J69:J70"/>
    <mergeCell ref="H78:H79"/>
    <mergeCell ref="J78:J79"/>
    <mergeCell ref="R48:R51"/>
    <mergeCell ref="P53:P54"/>
    <mergeCell ref="Q53:Q54"/>
    <mergeCell ref="R53:R54"/>
    <mergeCell ref="N78:N79"/>
    <mergeCell ref="O78:O79"/>
    <mergeCell ref="O60:O61"/>
    <mergeCell ref="N56:N58"/>
    <mergeCell ref="O56:O58"/>
    <mergeCell ref="N66:N68"/>
    <mergeCell ref="O66:O68"/>
    <mergeCell ref="R56:R58"/>
    <mergeCell ref="H66:H67"/>
    <mergeCell ref="I66:I67"/>
    <mergeCell ref="J66:J67"/>
    <mergeCell ref="H56:H57"/>
    <mergeCell ref="I56:I57"/>
    <mergeCell ref="P71:P72"/>
    <mergeCell ref="O71:O72"/>
    <mergeCell ref="F69:F70"/>
    <mergeCell ref="G69:G70"/>
    <mergeCell ref="H69:H70"/>
    <mergeCell ref="Q158:Q159"/>
    <mergeCell ref="O145:O146"/>
    <mergeCell ref="A128:A129"/>
    <mergeCell ref="A121:A123"/>
    <mergeCell ref="A3:B3"/>
    <mergeCell ref="A60:A61"/>
    <mergeCell ref="B60:B61"/>
    <mergeCell ref="C60:C61"/>
    <mergeCell ref="C69:C70"/>
    <mergeCell ref="D69:D70"/>
    <mergeCell ref="E69:E70"/>
    <mergeCell ref="A11:A13"/>
    <mergeCell ref="B11:B13"/>
    <mergeCell ref="A124:A127"/>
    <mergeCell ref="A66:A68"/>
    <mergeCell ref="B66:B68"/>
    <mergeCell ref="C66:C68"/>
    <mergeCell ref="D66:D68"/>
    <mergeCell ref="E66:E67"/>
    <mergeCell ref="E60:E61"/>
    <mergeCell ref="E56:E57"/>
    <mergeCell ref="S48:S51"/>
    <mergeCell ref="S53:S54"/>
    <mergeCell ref="O53:O54"/>
    <mergeCell ref="N53:N54"/>
    <mergeCell ref="R66:R68"/>
    <mergeCell ref="S66:S68"/>
    <mergeCell ref="R60:R61"/>
    <mergeCell ref="S60:S61"/>
    <mergeCell ref="N60:N61"/>
    <mergeCell ref="S56:S58"/>
    <mergeCell ref="N71:N72"/>
    <mergeCell ref="N95:N96"/>
    <mergeCell ref="N137:N139"/>
    <mergeCell ref="S158:S159"/>
    <mergeCell ref="O142:O144"/>
    <mergeCell ref="R142:R144"/>
    <mergeCell ref="R153:R154"/>
    <mergeCell ref="S153:S154"/>
    <mergeCell ref="R158:R159"/>
    <mergeCell ref="N142:N144"/>
    <mergeCell ref="N140:N141"/>
    <mergeCell ref="O140:O141"/>
    <mergeCell ref="R151:R152"/>
    <mergeCell ref="R137:R139"/>
    <mergeCell ref="R145:R146"/>
    <mergeCell ref="S145:S146"/>
    <mergeCell ref="S142:S144"/>
    <mergeCell ref="O153:O154"/>
    <mergeCell ref="O151:O152"/>
    <mergeCell ref="P158:P159"/>
    <mergeCell ref="P95:P96"/>
    <mergeCell ref="S95:S96"/>
    <mergeCell ref="S151:S152"/>
    <mergeCell ref="S130:S131"/>
    <mergeCell ref="S134:S136"/>
    <mergeCell ref="S34:S35"/>
    <mergeCell ref="A111:A112"/>
    <mergeCell ref="B111:B112"/>
    <mergeCell ref="C111:C112"/>
    <mergeCell ref="D111:D112"/>
    <mergeCell ref="H111:H112"/>
    <mergeCell ref="I111:I112"/>
    <mergeCell ref="J111:J112"/>
    <mergeCell ref="N111:N112"/>
    <mergeCell ref="O111:O112"/>
    <mergeCell ref="R111:R112"/>
    <mergeCell ref="S111:S112"/>
    <mergeCell ref="P66:P68"/>
    <mergeCell ref="Q66:Q68"/>
    <mergeCell ref="P98:P99"/>
    <mergeCell ref="S98:S99"/>
    <mergeCell ref="A83:A87"/>
    <mergeCell ref="Q95:Q96"/>
    <mergeCell ref="R95:R96"/>
    <mergeCell ref="A75:A77"/>
    <mergeCell ref="C75:C77"/>
    <mergeCell ref="D75:D77"/>
    <mergeCell ref="A78:A79"/>
    <mergeCell ref="B95:B96"/>
    <mergeCell ref="B220:M220"/>
    <mergeCell ref="B222:M222"/>
    <mergeCell ref="R113:R114"/>
    <mergeCell ref="S113:S114"/>
    <mergeCell ref="A113:A114"/>
    <mergeCell ref="B113:B114"/>
    <mergeCell ref="C113:C114"/>
    <mergeCell ref="D113:D114"/>
    <mergeCell ref="H113:H114"/>
    <mergeCell ref="I113:I114"/>
    <mergeCell ref="J113:J114"/>
    <mergeCell ref="N113:N114"/>
    <mergeCell ref="O113:O114"/>
    <mergeCell ref="R184:R187"/>
    <mergeCell ref="S184:S187"/>
    <mergeCell ref="S121:S123"/>
    <mergeCell ref="S128:S129"/>
    <mergeCell ref="O121:O123"/>
    <mergeCell ref="R121:R123"/>
    <mergeCell ref="N128:N129"/>
    <mergeCell ref="N151:N152"/>
    <mergeCell ref="O137:O139"/>
    <mergeCell ref="R208:R209"/>
  </mergeCells>
  <hyperlinks>
    <hyperlink ref="K153"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6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62" t="s">
        <v>379</v>
      </c>
    </row>
    <row r="3" spans="1:8" x14ac:dyDescent="0.25">
      <c r="A3" s="63" t="s">
        <v>376</v>
      </c>
    </row>
    <row r="5" spans="1:8" ht="45" x14ac:dyDescent="0.25">
      <c r="A5" s="294" t="s">
        <v>0</v>
      </c>
      <c r="B5" s="340" t="s">
        <v>1</v>
      </c>
      <c r="C5" s="340" t="s">
        <v>13</v>
      </c>
      <c r="D5" s="340"/>
      <c r="E5" s="58" t="s">
        <v>14</v>
      </c>
      <c r="F5" s="340" t="s">
        <v>15</v>
      </c>
      <c r="G5" s="342"/>
      <c r="H5" s="342"/>
    </row>
    <row r="6" spans="1:8" x14ac:dyDescent="0.25">
      <c r="A6" s="305"/>
      <c r="B6" s="340"/>
      <c r="C6" s="60" t="s">
        <v>11</v>
      </c>
      <c r="D6" s="60" t="s">
        <v>12</v>
      </c>
      <c r="E6" s="60" t="s">
        <v>11</v>
      </c>
      <c r="F6" s="60" t="s">
        <v>11</v>
      </c>
      <c r="G6" s="60" t="s">
        <v>11</v>
      </c>
      <c r="H6" s="60" t="s">
        <v>11</v>
      </c>
    </row>
    <row r="7" spans="1:8" x14ac:dyDescent="0.25">
      <c r="A7" s="61">
        <v>1</v>
      </c>
      <c r="B7" s="59">
        <v>2</v>
      </c>
      <c r="C7" s="59">
        <v>3</v>
      </c>
      <c r="D7" s="59">
        <v>4</v>
      </c>
      <c r="E7" s="59">
        <v>5</v>
      </c>
      <c r="F7" s="59">
        <v>6</v>
      </c>
      <c r="G7" s="59">
        <v>7</v>
      </c>
      <c r="H7" s="59">
        <v>8</v>
      </c>
    </row>
    <row r="8" spans="1:8" ht="42.75" x14ac:dyDescent="0.25">
      <c r="A8" s="22" t="s">
        <v>61</v>
      </c>
      <c r="B8" s="17" t="s">
        <v>60</v>
      </c>
      <c r="C8" s="66" t="e">
        <f t="shared" ref="C8:H8" si="0">SUM(C9:C36)</f>
        <v>#REF!</v>
      </c>
      <c r="D8" s="66" t="e">
        <f t="shared" si="0"/>
        <v>#REF!</v>
      </c>
      <c r="E8" s="66" t="e">
        <f t="shared" si="0"/>
        <v>#REF!</v>
      </c>
      <c r="F8" s="66" t="e">
        <f t="shared" si="0"/>
        <v>#REF!</v>
      </c>
      <c r="G8" s="66" t="e">
        <f t="shared" si="0"/>
        <v>#REF!</v>
      </c>
      <c r="H8" s="66" t="e">
        <f t="shared" si="0"/>
        <v>#REF!</v>
      </c>
    </row>
    <row r="9" spans="1:8" ht="45" x14ac:dyDescent="0.25">
      <c r="A9" s="64">
        <v>2102</v>
      </c>
      <c r="B9" s="56" t="s">
        <v>139</v>
      </c>
      <c r="C9" s="65" t="e">
        <f>Лист1!#REF!+Лист1!#REF!+Лист1!N216</f>
        <v>#REF!</v>
      </c>
      <c r="D9" s="65" t="e">
        <f>Лист1!#REF!+Лист1!#REF!+Лист1!O216</f>
        <v>#REF!</v>
      </c>
      <c r="E9" s="65" t="e">
        <f>Лист1!#REF!+Лист1!#REF!+Лист1!P216</f>
        <v>#REF!</v>
      </c>
      <c r="F9" s="65" t="e">
        <f>Лист1!#REF!+Лист1!#REF!+Лист1!Q216</f>
        <v>#REF!</v>
      </c>
      <c r="G9" s="65" t="e">
        <f>Лист1!#REF!+Лист1!#REF!+Лист1!R216</f>
        <v>#REF!</v>
      </c>
      <c r="H9" s="65" t="e">
        <f>Лист1!#REF!+Лист1!#REF!+Лист1!S216</f>
        <v>#REF!</v>
      </c>
    </row>
    <row r="10" spans="1:8" ht="30" x14ac:dyDescent="0.25">
      <c r="A10" s="56">
        <v>2104</v>
      </c>
      <c r="B10" s="56" t="s">
        <v>391</v>
      </c>
      <c r="C10" s="65">
        <f>Лист1!N48</f>
        <v>1810695.69</v>
      </c>
      <c r="D10" s="65">
        <f>Лист1!O48</f>
        <v>1810695.69</v>
      </c>
      <c r="E10" s="65">
        <f>Лист1!P48</f>
        <v>1292000</v>
      </c>
      <c r="F10" s="65">
        <f>Лист1!Q48</f>
        <v>0</v>
      </c>
      <c r="G10" s="65">
        <f>Лист1!R48</f>
        <v>0</v>
      </c>
      <c r="H10" s="65">
        <f>Лист1!S48</f>
        <v>0</v>
      </c>
    </row>
    <row r="11" spans="1:8" ht="45" x14ac:dyDescent="0.25">
      <c r="A11" s="56">
        <v>2105</v>
      </c>
      <c r="B11" s="56" t="s">
        <v>218</v>
      </c>
      <c r="C11" s="65">
        <f>Лист1!N121</f>
        <v>15084381</v>
      </c>
      <c r="D11" s="65">
        <f>Лист1!O121</f>
        <v>15021476.140000001</v>
      </c>
      <c r="E11" s="65">
        <f>Лист1!P121</f>
        <v>2559005</v>
      </c>
      <c r="F11" s="65">
        <f>Лист1!Q121</f>
        <v>2500000</v>
      </c>
      <c r="G11" s="65">
        <f>Лист1!R121</f>
        <v>2500000</v>
      </c>
      <c r="H11" s="65">
        <f>Лист1!S121</f>
        <v>2500000</v>
      </c>
    </row>
    <row r="12" spans="1:8" ht="105" x14ac:dyDescent="0.25">
      <c r="A12" s="10">
        <v>2106</v>
      </c>
      <c r="B12" s="10" t="s">
        <v>227</v>
      </c>
      <c r="C12" s="65">
        <f>Лист1!N124</f>
        <v>149331980</v>
      </c>
      <c r="D12" s="65">
        <f>Лист1!O124</f>
        <v>148760035.41999999</v>
      </c>
      <c r="E12" s="65">
        <f>Лист1!P124</f>
        <v>114110840</v>
      </c>
      <c r="F12" s="65">
        <f>Лист1!Q124</f>
        <v>107881279</v>
      </c>
      <c r="G12" s="65">
        <f>Лист1!R124</f>
        <v>106881279</v>
      </c>
      <c r="H12" s="65">
        <f>Лист1!S124</f>
        <v>106881279</v>
      </c>
    </row>
    <row r="13" spans="1:8" ht="75" x14ac:dyDescent="0.25">
      <c r="A13" s="56">
        <v>2107</v>
      </c>
      <c r="B13" s="56" t="s">
        <v>45</v>
      </c>
      <c r="C13" s="65">
        <f>Лист1!N128+Лист1!N64+Лист1!N52+Лист1!N11</f>
        <v>96393261.099999994</v>
      </c>
      <c r="D13" s="65">
        <f>Лист1!O128+Лист1!O64+Лист1!O52+Лист1!O11</f>
        <v>81382933.019999996</v>
      </c>
      <c r="E13" s="65">
        <f>Лист1!P128+Лист1!P64+Лист1!P52+Лист1!P11</f>
        <v>17497358</v>
      </c>
      <c r="F13" s="65">
        <f>Лист1!Q128+Лист1!Q64+Лист1!Q52+Лист1!Q11</f>
        <v>5841386</v>
      </c>
      <c r="G13" s="65">
        <f>Лист1!R128+Лист1!R64+Лист1!R52+Лист1!R11</f>
        <v>6692958</v>
      </c>
      <c r="H13" s="65">
        <f>Лист1!S128+Лист1!S64+Лист1!S52+Лист1!S11</f>
        <v>6692958</v>
      </c>
    </row>
    <row r="14" spans="1:8" ht="30" x14ac:dyDescent="0.25">
      <c r="A14" s="56">
        <v>2108</v>
      </c>
      <c r="B14" s="56" t="s">
        <v>240</v>
      </c>
      <c r="C14" s="65">
        <f>Лист1!N130</f>
        <v>62279081.939999998</v>
      </c>
      <c r="D14" s="65">
        <f>Лист1!O130</f>
        <v>56853672.140000001</v>
      </c>
      <c r="E14" s="65">
        <f>Лист1!P130</f>
        <v>62921020</v>
      </c>
      <c r="F14" s="65">
        <f>Лист1!Q130</f>
        <v>41408157</v>
      </c>
      <c r="G14" s="65">
        <f>Лист1!R130</f>
        <v>41408157</v>
      </c>
      <c r="H14" s="65">
        <f>Лист1!S130</f>
        <v>41408157</v>
      </c>
    </row>
    <row r="15" spans="1:8" ht="30" x14ac:dyDescent="0.25">
      <c r="A15" s="56">
        <v>2111</v>
      </c>
      <c r="B15" s="56" t="s">
        <v>148</v>
      </c>
      <c r="C15" s="65">
        <f>Лист1!N75</f>
        <v>33198753.93</v>
      </c>
      <c r="D15" s="65">
        <f>Лист1!O75</f>
        <v>33035747.510000002</v>
      </c>
      <c r="E15" s="65">
        <f>Лист1!P75</f>
        <v>35545360</v>
      </c>
      <c r="F15" s="65">
        <f>Лист1!Q75</f>
        <v>34440663</v>
      </c>
      <c r="G15" s="65">
        <f>Лист1!R75</f>
        <v>34211308</v>
      </c>
      <c r="H15" s="65">
        <f>Лист1!S75</f>
        <v>34211308</v>
      </c>
    </row>
    <row r="16" spans="1:8" x14ac:dyDescent="0.25">
      <c r="A16" s="56">
        <v>2115</v>
      </c>
      <c r="B16" s="56" t="s">
        <v>162</v>
      </c>
      <c r="C16" s="65">
        <f>Лист1!N78</f>
        <v>349301.2</v>
      </c>
      <c r="D16" s="65">
        <f>Лист1!O78</f>
        <v>349301.2</v>
      </c>
      <c r="E16" s="65">
        <f>Лист1!P78</f>
        <v>630000</v>
      </c>
      <c r="F16" s="65">
        <f>Лист1!Q78</f>
        <v>630000</v>
      </c>
      <c r="G16" s="65">
        <f>Лист1!R78</f>
        <v>630000</v>
      </c>
      <c r="H16" s="65">
        <f>Лист1!S78</f>
        <v>630000</v>
      </c>
    </row>
    <row r="17" spans="1:8" ht="165" x14ac:dyDescent="0.25">
      <c r="A17" s="56">
        <v>2117</v>
      </c>
      <c r="B17" s="56" t="s">
        <v>169</v>
      </c>
      <c r="C17" s="65">
        <f>Лист1!N83+Лист1!N184</f>
        <v>498353768.44</v>
      </c>
      <c r="D17" s="65">
        <f>Лист1!O83+Лист1!O184</f>
        <v>496627820.44999999</v>
      </c>
      <c r="E17" s="65">
        <f>Лист1!P83+Лист1!P184</f>
        <v>495144072</v>
      </c>
      <c r="F17" s="65">
        <f>Лист1!Q83+Лист1!Q184</f>
        <v>486069265</v>
      </c>
      <c r="G17" s="65">
        <f>Лист1!R83+Лист1!R184</f>
        <v>476571979</v>
      </c>
      <c r="H17" s="65">
        <f>Лист1!S83+Лист1!S184</f>
        <v>476571979</v>
      </c>
    </row>
    <row r="18" spans="1:8" ht="30" x14ac:dyDescent="0.25">
      <c r="A18" s="56">
        <v>2119</v>
      </c>
      <c r="B18" s="56" t="s">
        <v>250</v>
      </c>
      <c r="C18" s="65">
        <f>Лист1!N134</f>
        <v>7699000</v>
      </c>
      <c r="D18" s="65">
        <f>Лист1!O134</f>
        <v>7299537.5500000007</v>
      </c>
      <c r="E18" s="65">
        <f>Лист1!P134</f>
        <v>8902000</v>
      </c>
      <c r="F18" s="65">
        <f>Лист1!Q134</f>
        <v>8902000</v>
      </c>
      <c r="G18" s="65">
        <f>Лист1!R134</f>
        <v>8902000</v>
      </c>
      <c r="H18" s="65">
        <f>Лист1!S134</f>
        <v>8902000</v>
      </c>
    </row>
    <row r="19" spans="1:8" ht="30" x14ac:dyDescent="0.25">
      <c r="A19" s="56">
        <v>2120</v>
      </c>
      <c r="B19" s="56" t="s">
        <v>317</v>
      </c>
      <c r="C19" s="65">
        <f>Лист1!N188</f>
        <v>37759516</v>
      </c>
      <c r="D19" s="65">
        <f>Лист1!O188</f>
        <v>37759515.869999997</v>
      </c>
      <c r="E19" s="65">
        <f>Лист1!P188</f>
        <v>39221553</v>
      </c>
      <c r="F19" s="65">
        <f>Лист1!Q188</f>
        <v>38451132</v>
      </c>
      <c r="G19" s="65">
        <f>Лист1!R188</f>
        <v>37811132</v>
      </c>
      <c r="H19" s="65">
        <f>Лист1!S188</f>
        <v>37811132</v>
      </c>
    </row>
    <row r="20" spans="1:8" ht="30" x14ac:dyDescent="0.25">
      <c r="A20" s="56">
        <v>2121</v>
      </c>
      <c r="B20" s="56" t="s">
        <v>392</v>
      </c>
      <c r="C20" s="65">
        <f>Лист1!N191</f>
        <v>42121129.560000002</v>
      </c>
      <c r="D20" s="65">
        <f>Лист1!O191</f>
        <v>42115628.770000003</v>
      </c>
      <c r="E20" s="65">
        <f>Лист1!P191</f>
        <v>44827333</v>
      </c>
      <c r="F20" s="65">
        <f>Лист1!Q191</f>
        <v>43782223</v>
      </c>
      <c r="G20" s="65">
        <f>Лист1!R191</f>
        <v>43055376</v>
      </c>
      <c r="H20" s="65">
        <f>Лист1!S191</f>
        <v>43055376</v>
      </c>
    </row>
    <row r="21" spans="1:8" ht="45" x14ac:dyDescent="0.25">
      <c r="A21" s="56">
        <v>2124</v>
      </c>
      <c r="B21" s="56" t="s">
        <v>308</v>
      </c>
      <c r="C21" s="65" t="e">
        <f>Лист1!N162+Лист1!#REF!</f>
        <v>#REF!</v>
      </c>
      <c r="D21" s="65" t="e">
        <f>Лист1!O162+Лист1!#REF!</f>
        <v>#REF!</v>
      </c>
      <c r="E21" s="65" t="e">
        <f>Лист1!P162+Лист1!#REF!</f>
        <v>#REF!</v>
      </c>
      <c r="F21" s="65" t="e">
        <f>Лист1!Q162+Лист1!#REF!</f>
        <v>#REF!</v>
      </c>
      <c r="G21" s="65" t="e">
        <f>Лист1!R162+Лист1!#REF!</f>
        <v>#REF!</v>
      </c>
      <c r="H21" s="65" t="e">
        <f>Лист1!S162+Лист1!#REF!</f>
        <v>#REF!</v>
      </c>
    </row>
    <row r="22" spans="1:8" ht="30" x14ac:dyDescent="0.25">
      <c r="A22" s="56">
        <v>2125</v>
      </c>
      <c r="B22" s="56" t="s">
        <v>253</v>
      </c>
      <c r="C22" s="65">
        <f>Лист1!N137</f>
        <v>73837.16</v>
      </c>
      <c r="D22" s="65">
        <f>Лист1!O137</f>
        <v>73837.16</v>
      </c>
      <c r="E22" s="65">
        <f>Лист1!P137</f>
        <v>36000</v>
      </c>
      <c r="F22" s="65">
        <f>Лист1!Q137</f>
        <v>36000</v>
      </c>
      <c r="G22" s="65">
        <f>Лист1!R137</f>
        <v>36000</v>
      </c>
      <c r="H22" s="65">
        <f>Лист1!S137</f>
        <v>36000</v>
      </c>
    </row>
    <row r="23" spans="1:8" x14ac:dyDescent="0.25">
      <c r="A23" s="56">
        <v>2126</v>
      </c>
      <c r="B23" s="56" t="s">
        <v>48</v>
      </c>
      <c r="C23" s="65">
        <f>Лист1!N14</f>
        <v>10421854</v>
      </c>
      <c r="D23" s="65">
        <f>Лист1!O14</f>
        <v>9608962.1699999999</v>
      </c>
      <c r="E23" s="65">
        <f>Лист1!P14</f>
        <v>3877955</v>
      </c>
      <c r="F23" s="65">
        <f>Лист1!Q14</f>
        <v>3871455</v>
      </c>
      <c r="G23" s="65">
        <f>Лист1!R14</f>
        <v>3871455</v>
      </c>
      <c r="H23" s="65">
        <f>Лист1!S14</f>
        <v>3871455</v>
      </c>
    </row>
    <row r="24" spans="1:8" x14ac:dyDescent="0.25">
      <c r="A24" s="56">
        <v>2127</v>
      </c>
      <c r="B24" s="56" t="s">
        <v>393</v>
      </c>
      <c r="C24" s="65">
        <f>Лист1!N140</f>
        <v>867129.32</v>
      </c>
      <c r="D24" s="65">
        <f>Лист1!O140</f>
        <v>867129.32</v>
      </c>
      <c r="E24" s="65">
        <f>Лист1!P140</f>
        <v>1450000</v>
      </c>
      <c r="F24" s="65">
        <f>Лист1!Q140</f>
        <v>1450000</v>
      </c>
      <c r="G24" s="65">
        <f>Лист1!R140</f>
        <v>700000</v>
      </c>
      <c r="H24" s="65">
        <f>Лист1!S140</f>
        <v>700000</v>
      </c>
    </row>
    <row r="25" spans="1:8" x14ac:dyDescent="0.25">
      <c r="A25" s="56">
        <v>2128</v>
      </c>
      <c r="B25" s="56" t="s">
        <v>394</v>
      </c>
      <c r="C25" s="65">
        <f>Лист1!N142</f>
        <v>0</v>
      </c>
      <c r="D25" s="65">
        <f>Лист1!O142</f>
        <v>0</v>
      </c>
      <c r="E25" s="65">
        <f>Лист1!P142</f>
        <v>0</v>
      </c>
      <c r="F25" s="65">
        <f>Лист1!Q142</f>
        <v>0</v>
      </c>
      <c r="G25" s="65">
        <f>Лист1!R142</f>
        <v>0</v>
      </c>
      <c r="H25" s="65">
        <f>Лист1!S142</f>
        <v>0</v>
      </c>
    </row>
    <row r="26" spans="1:8" ht="165" x14ac:dyDescent="0.25">
      <c r="A26" s="56">
        <v>2129</v>
      </c>
      <c r="B26" s="56" t="s">
        <v>285</v>
      </c>
      <c r="C26" s="65">
        <f>Лист1!N145</f>
        <v>91177216.110000014</v>
      </c>
      <c r="D26" s="65">
        <f>Лист1!O145</f>
        <v>91175952.520000011</v>
      </c>
      <c r="E26" s="65">
        <f>Лист1!P145</f>
        <v>161338976</v>
      </c>
      <c r="F26" s="65">
        <f>Лист1!Q145</f>
        <v>85194400</v>
      </c>
      <c r="G26" s="65">
        <f>Лист1!R145</f>
        <v>52193062</v>
      </c>
      <c r="H26" s="65">
        <f>Лист1!S145</f>
        <v>52193062</v>
      </c>
    </row>
    <row r="27" spans="1:8" ht="180" x14ac:dyDescent="0.25">
      <c r="A27" s="56">
        <v>2130</v>
      </c>
      <c r="B27" s="56" t="s">
        <v>123</v>
      </c>
      <c r="C27" s="65">
        <f>Лист1!N53+Лист1!N203</f>
        <v>1555600</v>
      </c>
      <c r="D27" s="65">
        <f>Лист1!O53+Лист1!O203</f>
        <v>1555600</v>
      </c>
      <c r="E27" s="65">
        <f>Лист1!P53+Лист1!P203</f>
        <v>2150000</v>
      </c>
      <c r="F27" s="65">
        <f>Лист1!Q53+Лист1!Q203</f>
        <v>1300000</v>
      </c>
      <c r="G27" s="65">
        <f>Лист1!R53+Лист1!R203</f>
        <v>1300000</v>
      </c>
      <c r="H27" s="65">
        <f>Лист1!S53+Лист1!S203</f>
        <v>1300000</v>
      </c>
    </row>
    <row r="28" spans="1:8" ht="30" x14ac:dyDescent="0.25">
      <c r="A28" s="56">
        <v>2131</v>
      </c>
      <c r="B28" s="56" t="s">
        <v>395</v>
      </c>
      <c r="C28" s="65">
        <f>Лист1!N205</f>
        <v>406995</v>
      </c>
      <c r="D28" s="65">
        <f>Лист1!O205</f>
        <v>325750</v>
      </c>
      <c r="E28" s="65">
        <f>Лист1!P205</f>
        <v>400000</v>
      </c>
      <c r="F28" s="65">
        <f>Лист1!Q205</f>
        <v>400000</v>
      </c>
      <c r="G28" s="65">
        <f>Лист1!R205</f>
        <v>400000</v>
      </c>
      <c r="H28" s="65">
        <f>Лист1!S205</f>
        <v>400000</v>
      </c>
    </row>
    <row r="29" spans="1:8" ht="61.5" customHeight="1" x14ac:dyDescent="0.25">
      <c r="A29" s="56">
        <v>2138</v>
      </c>
      <c r="B29" s="56" t="s">
        <v>396</v>
      </c>
      <c r="C29" s="65" t="e">
        <f>Лист1!#REF!+Лист1!N17</f>
        <v>#REF!</v>
      </c>
      <c r="D29" s="65" t="e">
        <f>Лист1!#REF!+Лист1!O17</f>
        <v>#REF!</v>
      </c>
      <c r="E29" s="65" t="e">
        <f>Лист1!#REF!+Лист1!P17</f>
        <v>#REF!</v>
      </c>
      <c r="F29" s="65" t="e">
        <f>Лист1!#REF!+Лист1!Q17</f>
        <v>#REF!</v>
      </c>
      <c r="G29" s="65" t="e">
        <f>Лист1!#REF!+Лист1!R17</f>
        <v>#REF!</v>
      </c>
      <c r="H29" s="65" t="e">
        <f>Лист1!#REF!+Лист1!S17</f>
        <v>#REF!</v>
      </c>
    </row>
    <row r="30" spans="1:8" ht="30" x14ac:dyDescent="0.25">
      <c r="A30" s="56">
        <v>2139</v>
      </c>
      <c r="B30" s="56" t="s">
        <v>300</v>
      </c>
      <c r="C30" s="65">
        <f>Лист1!N172</f>
        <v>36387234.479999997</v>
      </c>
      <c r="D30" s="65">
        <f>Лист1!O172</f>
        <v>35689645.409999996</v>
      </c>
      <c r="E30" s="65">
        <f>Лист1!P172</f>
        <v>20949057</v>
      </c>
      <c r="F30" s="65">
        <f>Лист1!Q172</f>
        <v>19136976</v>
      </c>
      <c r="G30" s="65">
        <f>Лист1!R172</f>
        <v>18936976</v>
      </c>
      <c r="H30" s="65">
        <f>Лист1!S172</f>
        <v>18936976</v>
      </c>
    </row>
    <row r="31" spans="1:8" ht="30" x14ac:dyDescent="0.25">
      <c r="A31" s="83">
        <v>2141</v>
      </c>
      <c r="B31" s="83" t="str">
        <f>Лист1!B32</f>
        <v>поддержка деятельности некоммерческих организаций, за исключением социально ориентированных некоммерческих организаций</v>
      </c>
      <c r="C31" s="65">
        <f>Лист1!N32</f>
        <v>222777.5</v>
      </c>
      <c r="D31" s="65">
        <f>Лист1!O32</f>
        <v>222777.5</v>
      </c>
      <c r="E31" s="65">
        <f>Лист1!P32</f>
        <v>498044</v>
      </c>
      <c r="F31" s="65">
        <f>Лист1!Q32</f>
        <v>409127</v>
      </c>
      <c r="G31" s="65">
        <f>Лист1!R32</f>
        <v>409127</v>
      </c>
      <c r="H31" s="65">
        <f>Лист1!S32</f>
        <v>409127</v>
      </c>
    </row>
    <row r="32" spans="1:8" ht="24" customHeight="1" x14ac:dyDescent="0.25">
      <c r="A32" s="56">
        <v>2201</v>
      </c>
      <c r="B32" s="56" t="str">
        <f>Лист1!B26</f>
        <v xml:space="preserve">финансирование органов местного самоуправления  </v>
      </c>
      <c r="C32" s="65">
        <f>Лист1!N26+Лист1!N98+Лист1!N118+Лист1!N151+Лист1!N178+Лист1!N196+Лист1!N208+Лист1!N212</f>
        <v>86477464.370000005</v>
      </c>
      <c r="D32" s="65">
        <f>Лист1!O26+Лист1!O98+Лист1!O118+Лист1!O151+Лист1!O178+Лист1!O196+Лист1!O208+Лист1!O212</f>
        <v>85841363.950000018</v>
      </c>
      <c r="E32" s="65">
        <f>Лист1!P26+Лист1!P98+Лист1!P118+Лист1!P151+Лист1!P178+Лист1!P196+Лист1!P208+Лист1!P212</f>
        <v>95524591</v>
      </c>
      <c r="F32" s="65">
        <f>Лист1!Q26+Лист1!Q98+Лист1!Q118+Лист1!Q151+Лист1!Q178+Лист1!Q196+Лист1!Q208+Лист1!Q212</f>
        <v>92466867</v>
      </c>
      <c r="G32" s="65">
        <f>Лист1!R26+Лист1!R98+Лист1!R118+Лист1!R151+Лист1!R178+Лист1!R196+Лист1!R208+Лист1!R212</f>
        <v>91267767</v>
      </c>
      <c r="H32" s="65">
        <f>Лист1!S26+Лист1!S98+Лист1!S118+Лист1!S151+Лист1!S178+Лист1!S196+Лист1!S208+Лист1!S212</f>
        <v>91267767</v>
      </c>
    </row>
    <row r="33" spans="1:8" x14ac:dyDescent="0.25">
      <c r="A33" s="56">
        <v>2202</v>
      </c>
      <c r="B33" s="56" t="s">
        <v>397</v>
      </c>
      <c r="C33" s="65">
        <f>Лист1!N69</f>
        <v>602</v>
      </c>
      <c r="D33" s="65">
        <f>Лист1!O69</f>
        <v>601.62</v>
      </c>
      <c r="E33" s="65">
        <f>Лист1!P69</f>
        <v>0</v>
      </c>
      <c r="F33" s="65">
        <f>Лист1!Q69</f>
        <v>0</v>
      </c>
      <c r="G33" s="65">
        <f>Лист1!R69</f>
        <v>0</v>
      </c>
      <c r="H33" s="65">
        <f>Лист1!S69</f>
        <v>0</v>
      </c>
    </row>
    <row r="34" spans="1:8" ht="60" x14ac:dyDescent="0.25">
      <c r="A34" s="57">
        <v>2206</v>
      </c>
      <c r="B34" s="56" t="s">
        <v>384</v>
      </c>
      <c r="C34" s="65" t="e">
        <f>Лист1!N28+Лист1!#REF!+Лист1!N153+Лист1!N180</f>
        <v>#REF!</v>
      </c>
      <c r="D34" s="65" t="e">
        <f>Лист1!O28+Лист1!#REF!+Лист1!O153+Лист1!O180</f>
        <v>#REF!</v>
      </c>
      <c r="E34" s="65" t="e">
        <f>Лист1!P28+Лист1!#REF!+Лист1!P153+Лист1!P180</f>
        <v>#REF!</v>
      </c>
      <c r="F34" s="65" t="e">
        <f>Лист1!Q28+Лист1!#REF!+Лист1!Q153+Лист1!Q180</f>
        <v>#REF!</v>
      </c>
      <c r="G34" s="65" t="e">
        <f>Лист1!R28+Лист1!#REF!+Лист1!R153+Лист1!R180</f>
        <v>#REF!</v>
      </c>
      <c r="H34" s="65" t="e">
        <f>Лист1!S28+Лист1!#REF!+Лист1!S153+Лист1!S180</f>
        <v>#REF!</v>
      </c>
    </row>
    <row r="35" spans="1:8" ht="75" x14ac:dyDescent="0.25">
      <c r="A35" s="56">
        <v>2211</v>
      </c>
      <c r="B35" s="83" t="s">
        <v>399</v>
      </c>
      <c r="C35" s="65">
        <f>Лист1!N30</f>
        <v>9586408.9000000004</v>
      </c>
      <c r="D35" s="65">
        <f>Лист1!O30</f>
        <v>9586408.9000000004</v>
      </c>
      <c r="E35" s="65">
        <f>Лист1!P30</f>
        <v>0</v>
      </c>
      <c r="F35" s="65">
        <f>Лист1!Q30</f>
        <v>0</v>
      </c>
      <c r="G35" s="65">
        <f>Лист1!R30</f>
        <v>0</v>
      </c>
      <c r="H35" s="65">
        <f>Лист1!S30</f>
        <v>0</v>
      </c>
    </row>
    <row r="36" spans="1:8" ht="30" x14ac:dyDescent="0.25">
      <c r="A36" s="83">
        <v>2218</v>
      </c>
      <c r="B36" s="83" t="s">
        <v>361</v>
      </c>
      <c r="C36" s="65" t="e">
        <f>Лист1!#REF!</f>
        <v>#REF!</v>
      </c>
      <c r="D36" s="65" t="e">
        <f>Лист1!#REF!</f>
        <v>#REF!</v>
      </c>
      <c r="E36" s="65" t="e">
        <f>Лист1!#REF!</f>
        <v>#REF!</v>
      </c>
      <c r="F36" s="65" t="e">
        <f>Лист1!#REF!</f>
        <v>#REF!</v>
      </c>
      <c r="G36" s="65" t="e">
        <f>Лист1!#REF!</f>
        <v>#REF!</v>
      </c>
      <c r="H36" s="65" t="e">
        <f>Лист1!#REF!</f>
        <v>#REF!</v>
      </c>
    </row>
    <row r="37" spans="1:8" ht="57" x14ac:dyDescent="0.25">
      <c r="A37" s="17" t="s">
        <v>59</v>
      </c>
      <c r="B37" s="17" t="s">
        <v>58</v>
      </c>
      <c r="C37" s="66" t="e">
        <f t="shared" ref="C37:H37" si="1">SUM(C38:C47)</f>
        <v>#REF!</v>
      </c>
      <c r="D37" s="66" t="e">
        <f t="shared" si="1"/>
        <v>#REF!</v>
      </c>
      <c r="E37" s="66" t="e">
        <f t="shared" si="1"/>
        <v>#REF!</v>
      </c>
      <c r="F37" s="66" t="e">
        <f t="shared" si="1"/>
        <v>#REF!</v>
      </c>
      <c r="G37" s="66" t="e">
        <f t="shared" si="1"/>
        <v>#REF!</v>
      </c>
      <c r="H37" s="66" t="e">
        <f t="shared" si="1"/>
        <v>#REF!</v>
      </c>
    </row>
    <row r="38" spans="1:8" x14ac:dyDescent="0.25">
      <c r="A38" s="56">
        <v>2603</v>
      </c>
      <c r="B38" s="56" t="s">
        <v>386</v>
      </c>
      <c r="C38" s="65" t="e">
        <f>Лист1!#REF!</f>
        <v>#REF!</v>
      </c>
      <c r="D38" s="65" t="e">
        <f>Лист1!#REF!</f>
        <v>#REF!</v>
      </c>
      <c r="E38" s="65" t="e">
        <f>Лист1!#REF!</f>
        <v>#REF!</v>
      </c>
      <c r="F38" s="65" t="e">
        <f>Лист1!#REF!</f>
        <v>#REF!</v>
      </c>
      <c r="G38" s="65" t="e">
        <f>Лист1!#REF!</f>
        <v>#REF!</v>
      </c>
      <c r="H38" s="65" t="e">
        <f>Лист1!#REF!</f>
        <v>#REF!</v>
      </c>
    </row>
    <row r="39" spans="1:8" x14ac:dyDescent="0.25">
      <c r="A39" s="10">
        <v>2605</v>
      </c>
      <c r="B39" s="10" t="s">
        <v>385</v>
      </c>
      <c r="C39" s="65">
        <f>Лист1!N38</f>
        <v>267890</v>
      </c>
      <c r="D39" s="65">
        <f>Лист1!O38</f>
        <v>267890</v>
      </c>
      <c r="E39" s="65">
        <f>Лист1!P38</f>
        <v>292200</v>
      </c>
      <c r="F39" s="65">
        <f>Лист1!Q38</f>
        <v>292200</v>
      </c>
      <c r="G39" s="65">
        <f>Лист1!R38</f>
        <v>292200</v>
      </c>
      <c r="H39" s="65">
        <f>Лист1!S38</f>
        <v>292200</v>
      </c>
    </row>
    <row r="40" spans="1:8" ht="135" x14ac:dyDescent="0.25">
      <c r="A40" s="10">
        <v>2622</v>
      </c>
      <c r="B40" s="10" t="s">
        <v>400</v>
      </c>
      <c r="C40" s="65" t="e">
        <f>Лист1!#REF!+Лист1!N102+Лист1!N107+Лист1!#REF!</f>
        <v>#REF!</v>
      </c>
      <c r="D40" s="65" t="e">
        <f>Лист1!#REF!+Лист1!O102+Лист1!O107+Лист1!#REF!</f>
        <v>#REF!</v>
      </c>
      <c r="E40" s="65" t="e">
        <f>Лист1!#REF!+Лист1!P102+Лист1!P107+Лист1!#REF!</f>
        <v>#REF!</v>
      </c>
      <c r="F40" s="65" t="e">
        <f>Лист1!#REF!+Лист1!Q102+Лист1!Q107+Лист1!#REF!</f>
        <v>#REF!</v>
      </c>
      <c r="G40" s="65" t="e">
        <f>Лист1!#REF!+Лист1!R102+Лист1!R107+Лист1!#REF!</f>
        <v>#REF!</v>
      </c>
      <c r="H40" s="65" t="e">
        <f>Лист1!#REF!+Лист1!S102+Лист1!S107+Лист1!#REF!</f>
        <v>#REF!</v>
      </c>
    </row>
    <row r="41" spans="1:8" ht="30" x14ac:dyDescent="0.25">
      <c r="A41" s="56">
        <v>2628</v>
      </c>
      <c r="B41" s="56" t="s">
        <v>387</v>
      </c>
      <c r="C41" s="65">
        <f>Лист1!N60</f>
        <v>45812854.689999998</v>
      </c>
      <c r="D41" s="65">
        <f>Лист1!O60</f>
        <v>45623524</v>
      </c>
      <c r="E41" s="65">
        <f>Лист1!P60</f>
        <v>103518200</v>
      </c>
      <c r="F41" s="65">
        <f>Лист1!Q60</f>
        <v>134738000</v>
      </c>
      <c r="G41" s="65">
        <f>Лист1!R60</f>
        <v>34506100</v>
      </c>
      <c r="H41" s="65">
        <f>Лист1!S60</f>
        <v>34506100</v>
      </c>
    </row>
    <row r="42" spans="1:8" ht="180" x14ac:dyDescent="0.25">
      <c r="A42" s="10">
        <v>2640</v>
      </c>
      <c r="B42" s="10" t="s">
        <v>401</v>
      </c>
      <c r="C42" s="65" t="e">
        <f>Лист1!N106+Лист1!#REF!+Лист1!#REF!+Лист1!#REF!</f>
        <v>#REF!</v>
      </c>
      <c r="D42" s="65" t="e">
        <f>Лист1!O106+Лист1!#REF!+Лист1!#REF!+Лист1!#REF!</f>
        <v>#REF!</v>
      </c>
      <c r="E42" s="65" t="e">
        <f>Лист1!P106+Лист1!#REF!+Лист1!#REF!+Лист1!#REF!</f>
        <v>#REF!</v>
      </c>
      <c r="F42" s="65" t="e">
        <f>Лист1!Q106+Лист1!#REF!+Лист1!#REF!+Лист1!#REF!</f>
        <v>#REF!</v>
      </c>
      <c r="G42" s="65" t="e">
        <f>Лист1!R106+Лист1!#REF!+Лист1!#REF!+Лист1!#REF!</f>
        <v>#REF!</v>
      </c>
      <c r="H42" s="65" t="e">
        <f>Лист1!S106+Лист1!#REF!+Лист1!#REF!+Лист1!#REF!</f>
        <v>#REF!</v>
      </c>
    </row>
    <row r="43" spans="1:8" ht="75" x14ac:dyDescent="0.25">
      <c r="A43" s="56">
        <v>2641</v>
      </c>
      <c r="B43" s="56" t="s">
        <v>402</v>
      </c>
      <c r="C43" s="65">
        <f>Лист1!N39+Лист1!N41+Лист1!N43</f>
        <v>3169800</v>
      </c>
      <c r="D43" s="65">
        <f>Лист1!O39+Лист1!O41+Лист1!O43</f>
        <v>3169800</v>
      </c>
      <c r="E43" s="65">
        <f>Лист1!P39+Лист1!P41+Лист1!P43</f>
        <v>3607100</v>
      </c>
      <c r="F43" s="65">
        <f>Лист1!Q39+Лист1!Q41+Лист1!Q43</f>
        <v>3607100</v>
      </c>
      <c r="G43" s="65">
        <f>Лист1!R39+Лист1!R41+Лист1!R43</f>
        <v>3607100</v>
      </c>
      <c r="H43" s="65">
        <f>Лист1!S39+Лист1!S41+Лист1!S43</f>
        <v>3607100</v>
      </c>
    </row>
    <row r="44" spans="1:8" x14ac:dyDescent="0.25">
      <c r="A44" s="56">
        <v>2642</v>
      </c>
      <c r="B44" s="10" t="s">
        <v>388</v>
      </c>
      <c r="C44" s="65">
        <f>Лист1!N109</f>
        <v>8511700</v>
      </c>
      <c r="D44" s="65">
        <f>Лист1!O109</f>
        <v>8394814.8100000005</v>
      </c>
      <c r="E44" s="65">
        <f>Лист1!P109</f>
        <v>9333800</v>
      </c>
      <c r="F44" s="65">
        <f>Лист1!Q109</f>
        <v>9333800</v>
      </c>
      <c r="G44" s="65">
        <f>Лист1!R109</f>
        <v>9333800</v>
      </c>
      <c r="H44" s="65">
        <f>Лист1!S109</f>
        <v>9333800</v>
      </c>
    </row>
    <row r="45" spans="1:8" ht="105" x14ac:dyDescent="0.25">
      <c r="A45" s="95">
        <v>2643</v>
      </c>
      <c r="B45" s="96" t="s">
        <v>407</v>
      </c>
      <c r="C45" s="65">
        <f>Лист1!N108</f>
        <v>0</v>
      </c>
      <c r="D45" s="65">
        <f>Лист1!O108</f>
        <v>0</v>
      </c>
      <c r="E45" s="65">
        <f>Лист1!P108</f>
        <v>15514000</v>
      </c>
      <c r="F45" s="65">
        <f>Лист1!Q108</f>
        <v>15514000</v>
      </c>
      <c r="G45" s="65">
        <f>Лист1!R108</f>
        <v>15514000</v>
      </c>
      <c r="H45" s="65">
        <f>Лист1!S108</f>
        <v>15514000</v>
      </c>
    </row>
    <row r="46" spans="1:8" ht="60" x14ac:dyDescent="0.25">
      <c r="A46" s="10">
        <v>2660</v>
      </c>
      <c r="B46" s="10" t="s">
        <v>390</v>
      </c>
      <c r="C46" s="65">
        <f>Лист1!N158</f>
        <v>2048720</v>
      </c>
      <c r="D46" s="65">
        <f>Лист1!O158</f>
        <v>2048200.89</v>
      </c>
      <c r="E46" s="65">
        <f>Лист1!P158</f>
        <v>2230100</v>
      </c>
      <c r="F46" s="65">
        <f>Лист1!Q158</f>
        <v>2230100</v>
      </c>
      <c r="G46" s="65">
        <f>Лист1!R158</f>
        <v>2230100</v>
      </c>
      <c r="H46" s="65">
        <f>Лист1!S158</f>
        <v>2230100</v>
      </c>
    </row>
    <row r="47" spans="1:8" ht="45" x14ac:dyDescent="0.25">
      <c r="A47" s="56">
        <v>2670</v>
      </c>
      <c r="B47" s="56" t="s">
        <v>389</v>
      </c>
      <c r="C47" s="65">
        <f>Лист1!N156</f>
        <v>20584900</v>
      </c>
      <c r="D47" s="65">
        <f>Лист1!O156</f>
        <v>12958531.5</v>
      </c>
      <c r="E47" s="65">
        <f>Лист1!P156</f>
        <v>7095100</v>
      </c>
      <c r="F47" s="65">
        <f>Лист1!Q156</f>
        <v>7095100</v>
      </c>
      <c r="G47" s="65">
        <f>Лист1!R156</f>
        <v>7095100</v>
      </c>
      <c r="H47" s="65">
        <f>Лист1!S156</f>
        <v>7095100</v>
      </c>
    </row>
    <row r="48" spans="1:8" x14ac:dyDescent="0.25">
      <c r="A48" s="22"/>
      <c r="B48" s="68" t="s">
        <v>381</v>
      </c>
      <c r="C48" s="66" t="e">
        <f>C8+C37</f>
        <v>#REF!</v>
      </c>
      <c r="D48" s="66" t="e">
        <f>D37+D8</f>
        <v>#REF!</v>
      </c>
      <c r="E48" s="66" t="e">
        <f>E37+E8</f>
        <v>#REF!</v>
      </c>
      <c r="F48" s="66" t="e">
        <f>F37+F8</f>
        <v>#REF!</v>
      </c>
      <c r="G48" s="66" t="e">
        <f>G37+G8</f>
        <v>#REF!</v>
      </c>
      <c r="H48" s="66" t="e">
        <f>H37+H8</f>
        <v>#REF!</v>
      </c>
    </row>
    <row r="49" spans="2:8" x14ac:dyDescent="0.25">
      <c r="B49" s="38" t="s">
        <v>403</v>
      </c>
      <c r="C49" s="47"/>
      <c r="D49" s="47"/>
      <c r="E49" s="47"/>
      <c r="F49" s="47"/>
      <c r="G49" s="47"/>
      <c r="H49" s="47"/>
    </row>
    <row r="50" spans="2:8" x14ac:dyDescent="0.25">
      <c r="C50" s="67" t="e">
        <f t="shared" ref="C50:H50" si="2">C48-C49</f>
        <v>#REF!</v>
      </c>
      <c r="D50" s="67" t="e">
        <f t="shared" si="2"/>
        <v>#REF!</v>
      </c>
      <c r="E50" s="67" t="e">
        <f t="shared" si="2"/>
        <v>#REF!</v>
      </c>
      <c r="F50" s="67" t="e">
        <f t="shared" si="2"/>
        <v>#REF!</v>
      </c>
      <c r="G50" s="67" t="e">
        <f t="shared" si="2"/>
        <v>#REF!</v>
      </c>
      <c r="H50" s="67" t="e">
        <f t="shared" si="2"/>
        <v>#REF!</v>
      </c>
    </row>
    <row r="52" spans="2:8" x14ac:dyDescent="0.25">
      <c r="C52" s="67">
        <v>2197002039.6799998</v>
      </c>
      <c r="D52" s="67">
        <v>2158639125.7800002</v>
      </c>
      <c r="E52" s="67">
        <v>2103817654.3</v>
      </c>
      <c r="F52" s="67">
        <v>1977338403</v>
      </c>
      <c r="G52" s="67">
        <v>1943385003</v>
      </c>
      <c r="H52" s="67">
        <v>1943385003</v>
      </c>
    </row>
    <row r="53" spans="2:8" x14ac:dyDescent="0.25">
      <c r="C53" s="67" t="e">
        <f t="shared" ref="C53:H53" si="3">C50-C52</f>
        <v>#REF!</v>
      </c>
      <c r="D53" s="67" t="e">
        <f t="shared" si="3"/>
        <v>#REF!</v>
      </c>
      <c r="E53" s="67" t="e">
        <f t="shared" si="3"/>
        <v>#REF!</v>
      </c>
      <c r="F53" s="67" t="e">
        <f t="shared" si="3"/>
        <v>#REF!</v>
      </c>
      <c r="G53" s="67" t="e">
        <f t="shared" si="3"/>
        <v>#REF!</v>
      </c>
      <c r="H53" s="67"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26"/>
  <sheetViews>
    <sheetView workbookViewId="0">
      <selection activeCell="C18" sqref="C18:E18"/>
    </sheetView>
  </sheetViews>
  <sheetFormatPr defaultRowHeight="15" x14ac:dyDescent="0.25"/>
  <cols>
    <col min="3" max="3" width="16.42578125" customWidth="1"/>
    <col min="4" max="4" width="14.5703125" customWidth="1"/>
    <col min="5" max="5" width="17.42578125" customWidth="1"/>
  </cols>
  <sheetData>
    <row r="4" spans="3:5" x14ac:dyDescent="0.25">
      <c r="C4" s="67">
        <v>1601753212</v>
      </c>
      <c r="D4" s="67">
        <v>1591713118</v>
      </c>
      <c r="E4" s="67">
        <v>1540370806</v>
      </c>
    </row>
    <row r="5" spans="3:5" x14ac:dyDescent="0.25">
      <c r="C5" s="67">
        <v>135713200</v>
      </c>
      <c r="D5" s="67">
        <v>135713200</v>
      </c>
      <c r="E5" s="67">
        <v>135713200</v>
      </c>
    </row>
    <row r="6" spans="3:5" x14ac:dyDescent="0.25">
      <c r="C6" s="67">
        <v>3177600</v>
      </c>
      <c r="D6" s="67">
        <v>3177600</v>
      </c>
      <c r="E6" s="67">
        <v>3177600</v>
      </c>
    </row>
    <row r="7" spans="3:5" x14ac:dyDescent="0.25">
      <c r="C7" s="67">
        <v>316554400</v>
      </c>
      <c r="D7" s="67">
        <v>316554400</v>
      </c>
      <c r="E7" s="67">
        <v>316554400</v>
      </c>
    </row>
    <row r="8" spans="3:5" x14ac:dyDescent="0.25">
      <c r="C8" s="67">
        <v>68988500</v>
      </c>
      <c r="D8" s="67">
        <v>68988500</v>
      </c>
      <c r="E8" s="67">
        <v>68988500</v>
      </c>
    </row>
    <row r="9" spans="3:5" x14ac:dyDescent="0.25">
      <c r="C9" s="67">
        <v>409440958</v>
      </c>
      <c r="D9" s="67">
        <v>409440958</v>
      </c>
      <c r="E9" s="67">
        <v>409440958</v>
      </c>
    </row>
    <row r="10" spans="3:5" x14ac:dyDescent="0.25">
      <c r="C10" s="67">
        <v>38343600</v>
      </c>
      <c r="D10" s="67">
        <v>38343600</v>
      </c>
      <c r="E10" s="67">
        <v>38343600</v>
      </c>
    </row>
    <row r="11" spans="3:5" x14ac:dyDescent="0.25">
      <c r="C11" s="67">
        <v>22925442</v>
      </c>
      <c r="D11" s="67">
        <v>22925442</v>
      </c>
      <c r="E11" s="67">
        <v>22925442</v>
      </c>
    </row>
    <row r="12" spans="3:5" x14ac:dyDescent="0.25">
      <c r="C12" s="67">
        <v>15514000</v>
      </c>
      <c r="D12" s="67">
        <v>15514000</v>
      </c>
      <c r="E12" s="67">
        <v>15514000</v>
      </c>
    </row>
    <row r="13" spans="3:5" x14ac:dyDescent="0.25">
      <c r="C13" s="67">
        <v>9333800</v>
      </c>
      <c r="D13" s="67">
        <v>9333800</v>
      </c>
      <c r="E13" s="67">
        <v>9333800</v>
      </c>
    </row>
    <row r="14" spans="3:5" x14ac:dyDescent="0.25">
      <c r="C14" s="67">
        <v>12278400</v>
      </c>
      <c r="D14" s="67">
        <v>12278400</v>
      </c>
      <c r="E14" s="67">
        <v>12278400</v>
      </c>
    </row>
    <row r="15" spans="3:5" x14ac:dyDescent="0.25">
      <c r="C15" s="67">
        <f>SUM(C5:C14)</f>
        <v>1032269900</v>
      </c>
      <c r="D15" s="67">
        <f t="shared" ref="D15:E15" si="0">SUM(D5:D14)</f>
        <v>1032269900</v>
      </c>
      <c r="E15" s="67">
        <f t="shared" si="0"/>
        <v>1032269900</v>
      </c>
    </row>
    <row r="16" spans="3:5" x14ac:dyDescent="0.25">
      <c r="C16" s="67">
        <v>8155733</v>
      </c>
      <c r="D16" s="67">
        <v>8155733</v>
      </c>
      <c r="E16" s="67">
        <v>8155733</v>
      </c>
    </row>
    <row r="17" spans="3:5" x14ac:dyDescent="0.25">
      <c r="C17" s="67">
        <v>50298268</v>
      </c>
      <c r="D17" s="67">
        <v>50298268</v>
      </c>
      <c r="E17" s="67">
        <v>50298268</v>
      </c>
    </row>
    <row r="18" spans="3:5" x14ac:dyDescent="0.25">
      <c r="C18" s="273">
        <f>C4-C15-C16-C17</f>
        <v>511029311</v>
      </c>
      <c r="D18" s="273">
        <f t="shared" ref="D18:E18" si="1">D4-D15-D16-D17</f>
        <v>500989217</v>
      </c>
      <c r="E18" s="273">
        <f t="shared" si="1"/>
        <v>449646905</v>
      </c>
    </row>
    <row r="19" spans="3:5" x14ac:dyDescent="0.25">
      <c r="C19" s="67"/>
      <c r="D19" s="67"/>
      <c r="E19" s="67"/>
    </row>
    <row r="20" spans="3:5" x14ac:dyDescent="0.25">
      <c r="C20" s="67"/>
      <c r="D20" s="67"/>
      <c r="E20" s="67"/>
    </row>
    <row r="21" spans="3:5" x14ac:dyDescent="0.25">
      <c r="C21" s="67"/>
      <c r="D21" s="67"/>
      <c r="E21" s="67"/>
    </row>
    <row r="22" spans="3:5" x14ac:dyDescent="0.25">
      <c r="C22" s="67"/>
      <c r="D22" s="67"/>
      <c r="E22" s="67"/>
    </row>
    <row r="23" spans="3:5" x14ac:dyDescent="0.25">
      <c r="C23" s="67"/>
      <c r="D23" s="67"/>
      <c r="E23" s="67"/>
    </row>
    <row r="24" spans="3:5" x14ac:dyDescent="0.25">
      <c r="C24" s="67"/>
      <c r="D24" s="67"/>
      <c r="E24" s="67"/>
    </row>
    <row r="25" spans="3:5" x14ac:dyDescent="0.25">
      <c r="C25" s="67"/>
      <c r="D25" s="67"/>
      <c r="E25" s="67"/>
    </row>
    <row r="26" spans="3:5" x14ac:dyDescent="0.25">
      <c r="C26" s="67"/>
      <c r="D26" s="67"/>
      <c r="E26" s="6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2021-11-16T04:20:49Z</dcterms:modified>
</cp:coreProperties>
</file>