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3920" windowHeight="12705"/>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R197" i="1" l="1"/>
  <c r="Q197" i="1"/>
  <c r="P197" i="1"/>
  <c r="S168" i="1"/>
  <c r="R168" i="1"/>
  <c r="Q168" i="1"/>
  <c r="P168" i="1"/>
  <c r="S141" i="1" l="1"/>
  <c r="R141" i="1"/>
  <c r="Q141" i="1"/>
  <c r="P141" i="1"/>
  <c r="R164" i="1"/>
  <c r="Q164" i="1"/>
  <c r="P164" i="1"/>
  <c r="S153" i="1"/>
  <c r="R153" i="1"/>
  <c r="Q153" i="1"/>
  <c r="P153" i="1"/>
  <c r="P132" i="1"/>
  <c r="R126" i="1"/>
  <c r="Q126" i="1"/>
  <c r="P126" i="1"/>
  <c r="R124" i="1"/>
  <c r="Q124" i="1"/>
  <c r="P124" i="1"/>
  <c r="D20" i="3"/>
  <c r="C20" i="3"/>
  <c r="E19" i="3"/>
  <c r="E20" i="3" s="1"/>
  <c r="D19" i="3"/>
  <c r="C19" i="3"/>
  <c r="R78" i="1"/>
  <c r="Q78" i="1"/>
  <c r="P78" i="1"/>
  <c r="S67" i="1"/>
  <c r="R67" i="1"/>
  <c r="Q67" i="1"/>
  <c r="P67" i="1"/>
  <c r="R61" i="1"/>
  <c r="Q61" i="1"/>
  <c r="P61" i="1"/>
  <c r="R57" i="1"/>
  <c r="Q57" i="1"/>
  <c r="P57" i="1"/>
  <c r="R49" i="1"/>
  <c r="Q49" i="1"/>
  <c r="P49" i="1"/>
  <c r="R27" i="1"/>
  <c r="Q27" i="1"/>
  <c r="P27" i="1"/>
  <c r="P26" i="1" s="1"/>
  <c r="R11" i="1"/>
  <c r="Q11" i="1"/>
  <c r="P11" i="1"/>
  <c r="P166" i="1" l="1"/>
  <c r="P89" i="1" l="1"/>
  <c r="P130" i="1" l="1"/>
  <c r="N147" i="1"/>
  <c r="O160" i="1" l="1"/>
  <c r="N160" i="1"/>
  <c r="O135" i="1"/>
  <c r="N135" i="1"/>
  <c r="O214" i="1" l="1"/>
  <c r="N214" i="1"/>
  <c r="O197" i="1"/>
  <c r="N197" i="1"/>
  <c r="O177" i="1"/>
  <c r="N177" i="1"/>
  <c r="O174" i="1"/>
  <c r="N174" i="1"/>
  <c r="O168" i="1"/>
  <c r="N168" i="1"/>
  <c r="O132" i="1"/>
  <c r="O158" i="1"/>
  <c r="N158" i="1"/>
  <c r="O164" i="1"/>
  <c r="N164" i="1"/>
  <c r="O153" i="1"/>
  <c r="N153" i="1"/>
  <c r="N132" i="1"/>
  <c r="O126" i="1" l="1"/>
  <c r="N126" i="1"/>
  <c r="O124" i="1"/>
  <c r="N124" i="1"/>
  <c r="O113" i="1"/>
  <c r="N113" i="1"/>
  <c r="O78" i="1"/>
  <c r="N78" i="1"/>
  <c r="N67" i="1"/>
  <c r="O61" i="1"/>
  <c r="N61" i="1"/>
  <c r="O57" i="1"/>
  <c r="N57" i="1"/>
  <c r="N54" i="1"/>
  <c r="O49" i="1"/>
  <c r="N49" i="1"/>
  <c r="O27" i="1"/>
  <c r="N33" i="1"/>
  <c r="N27" i="1" s="1"/>
  <c r="O11" i="1"/>
  <c r="N11" i="1"/>
  <c r="S26" i="1" l="1"/>
  <c r="S162" i="1" l="1"/>
  <c r="S10" i="1"/>
  <c r="R10" i="1"/>
  <c r="Q10" i="1"/>
  <c r="O34" i="1"/>
  <c r="N34" i="1"/>
  <c r="O10" i="1"/>
  <c r="N10" i="1"/>
  <c r="R162" i="1" l="1"/>
  <c r="Q162" i="1"/>
  <c r="P162" i="1"/>
  <c r="P10" i="1" l="1"/>
  <c r="S130" i="1" l="1"/>
  <c r="R188" i="1" l="1"/>
  <c r="O166" i="1" l="1"/>
  <c r="N166" i="1"/>
  <c r="N130" i="1" l="1"/>
  <c r="O130" i="1"/>
  <c r="O26" i="1"/>
  <c r="N26" i="1"/>
  <c r="P188" i="1" l="1"/>
  <c r="Q166" i="1"/>
  <c r="P60" i="1" l="1"/>
  <c r="S34" i="1"/>
  <c r="R34" i="1"/>
  <c r="Q34" i="1"/>
  <c r="P34" i="1"/>
  <c r="O36" i="1" l="1"/>
  <c r="N36" i="1"/>
  <c r="S36" i="1"/>
  <c r="R36" i="1"/>
  <c r="Q36" i="1"/>
  <c r="P36" i="1"/>
  <c r="S166" i="1" l="1"/>
  <c r="R166" i="1"/>
  <c r="R130" i="1" l="1"/>
  <c r="Q130" i="1"/>
  <c r="R26" i="1" l="1"/>
  <c r="Q26" i="1"/>
  <c r="N182" i="1" l="1"/>
  <c r="S112" i="1" l="1"/>
  <c r="R112" i="1"/>
  <c r="Q112" i="1"/>
  <c r="P112" i="1"/>
  <c r="O112" i="1"/>
  <c r="N112" i="1"/>
  <c r="S89" i="1"/>
  <c r="R89" i="1"/>
  <c r="Q89" i="1" l="1"/>
  <c r="S226" i="1" l="1"/>
  <c r="R226" i="1"/>
  <c r="Q226" i="1"/>
  <c r="P226" i="1"/>
  <c r="O226" i="1"/>
  <c r="N226" i="1"/>
  <c r="S116" i="1" l="1"/>
  <c r="R116" i="1"/>
  <c r="Q116" i="1"/>
  <c r="P116" i="1"/>
  <c r="O116" i="1"/>
  <c r="N116" i="1"/>
  <c r="S123" i="1"/>
  <c r="S228" i="1" s="1"/>
  <c r="R123" i="1"/>
  <c r="R228" i="1" s="1"/>
  <c r="Q123" i="1"/>
  <c r="Q228" i="1" s="1"/>
  <c r="P123" i="1"/>
  <c r="P228" i="1" s="1"/>
  <c r="P88" i="1" l="1"/>
  <c r="O123" i="1" l="1"/>
  <c r="O228" i="1" s="1"/>
  <c r="N123" i="1"/>
  <c r="N228" i="1" s="1"/>
  <c r="S64" i="1" l="1"/>
  <c r="R64" i="1"/>
  <c r="Q64" i="1"/>
  <c r="P64" i="1"/>
  <c r="O64" i="1"/>
  <c r="N64" i="1"/>
  <c r="O66" i="1" l="1"/>
  <c r="O89" i="1" l="1"/>
  <c r="O88" i="1" s="1"/>
  <c r="N89" i="1"/>
  <c r="N88" i="1" s="1"/>
  <c r="N66" i="1"/>
  <c r="S205" i="1" l="1"/>
  <c r="R205" i="1"/>
  <c r="Q205" i="1"/>
  <c r="P205" i="1"/>
  <c r="O205" i="1"/>
  <c r="N205" i="1"/>
  <c r="S66" i="1" l="1"/>
  <c r="P66" i="1" l="1"/>
  <c r="R66" i="1"/>
  <c r="Q66" i="1"/>
  <c r="N48" i="1" l="1"/>
  <c r="S56" i="1" l="1"/>
  <c r="R56" i="1"/>
  <c r="Q56" i="1"/>
  <c r="P56" i="1"/>
  <c r="O56" i="1"/>
  <c r="N56" i="1"/>
  <c r="H21" i="2" l="1"/>
  <c r="G21" i="2"/>
  <c r="F21" i="2"/>
  <c r="E21" i="2"/>
  <c r="D21" i="2"/>
  <c r="C21" i="2"/>
  <c r="H34" i="2"/>
  <c r="G34" i="2"/>
  <c r="F34" i="2"/>
  <c r="E34" i="2"/>
  <c r="D34" i="2"/>
  <c r="C34" i="2"/>
  <c r="H9" i="2"/>
  <c r="G9" i="2"/>
  <c r="F9" i="2"/>
  <c r="E9" i="2"/>
  <c r="D9" i="2"/>
  <c r="C9" i="2"/>
  <c r="H13" i="2"/>
  <c r="G13" i="2"/>
  <c r="F13" i="2"/>
  <c r="H12" i="2"/>
  <c r="G12" i="2"/>
  <c r="F12" i="2"/>
  <c r="E12" i="2"/>
  <c r="D12" i="2"/>
  <c r="C12" i="2"/>
  <c r="H11" i="2"/>
  <c r="G11" i="2"/>
  <c r="F11" i="2"/>
  <c r="D11" i="2"/>
  <c r="C11" i="2"/>
  <c r="H10" i="2"/>
  <c r="G10" i="2"/>
  <c r="F10" i="2"/>
  <c r="E10" i="2"/>
  <c r="D10" i="2"/>
  <c r="C10" i="2"/>
  <c r="H26" i="2" l="1"/>
  <c r="G26" i="2"/>
  <c r="F26" i="2"/>
  <c r="E11" i="2" l="1"/>
  <c r="E26" i="2"/>
  <c r="H17" i="2" l="1"/>
  <c r="G32" i="2"/>
  <c r="F32" i="2"/>
  <c r="E32" i="2"/>
  <c r="E13" i="2"/>
  <c r="D26" i="2" l="1"/>
  <c r="D17" i="2"/>
  <c r="C17" i="2"/>
  <c r="C26" i="2" l="1"/>
  <c r="D32" i="2"/>
  <c r="C32" i="2"/>
  <c r="D13" i="2"/>
  <c r="C13" i="2"/>
  <c r="H32" i="2" l="1"/>
  <c r="S182" i="1" l="1"/>
  <c r="R182" i="1"/>
  <c r="Q182" i="1"/>
  <c r="P182" i="1"/>
  <c r="P165" i="1" s="1"/>
  <c r="O182" i="1"/>
  <c r="H36" i="2" l="1"/>
  <c r="G36" i="2"/>
  <c r="F36" i="2"/>
  <c r="E36" i="2"/>
  <c r="D36" i="2"/>
  <c r="C36" i="2"/>
  <c r="H35" i="2"/>
  <c r="G35" i="2"/>
  <c r="F35" i="2"/>
  <c r="E35" i="2"/>
  <c r="D35" i="2"/>
  <c r="C35" i="2"/>
  <c r="H33" i="2"/>
  <c r="G33" i="2"/>
  <c r="F33" i="2"/>
  <c r="E33" i="2"/>
  <c r="D33" i="2"/>
  <c r="C33" i="2"/>
  <c r="B32" i="2"/>
  <c r="S213" i="1"/>
  <c r="S204" i="1" s="1"/>
  <c r="R213" i="1"/>
  <c r="R204" i="1" s="1"/>
  <c r="Q213" i="1"/>
  <c r="Q204" i="1" s="1"/>
  <c r="P213" i="1"/>
  <c r="O213" i="1"/>
  <c r="N213" i="1"/>
  <c r="P217" i="1"/>
  <c r="Q217" i="1"/>
  <c r="S188" i="1"/>
  <c r="S201" i="1"/>
  <c r="R201" i="1"/>
  <c r="Q201" i="1"/>
  <c r="P201" i="1"/>
  <c r="P187" i="1" s="1"/>
  <c r="O201" i="1"/>
  <c r="N201" i="1"/>
  <c r="O165" i="1"/>
  <c r="S157" i="1"/>
  <c r="R157" i="1"/>
  <c r="Q157" i="1"/>
  <c r="P157" i="1"/>
  <c r="P129" i="1" s="1"/>
  <c r="O157" i="1"/>
  <c r="N157" i="1"/>
  <c r="S88" i="1"/>
  <c r="F17" i="2"/>
  <c r="E17" i="2"/>
  <c r="P9" i="1" l="1"/>
  <c r="Q9" i="1"/>
  <c r="R9" i="1"/>
  <c r="S9" i="1"/>
  <c r="N9" i="1"/>
  <c r="P216" i="1"/>
  <c r="Q216" i="1"/>
  <c r="G17" i="2"/>
  <c r="S187" i="1"/>
  <c r="N165" i="1"/>
  <c r="R63" i="1"/>
  <c r="P63" i="1"/>
  <c r="S63" i="1"/>
  <c r="H45" i="2"/>
  <c r="G45" i="2"/>
  <c r="F45" i="2"/>
  <c r="E45" i="2"/>
  <c r="D45" i="2"/>
  <c r="C45" i="2"/>
  <c r="Q88" i="1" l="1"/>
  <c r="R88" i="1"/>
  <c r="O63" i="1" l="1"/>
  <c r="N63" i="1"/>
  <c r="H31" i="2" l="1"/>
  <c r="G31" i="2"/>
  <c r="F31" i="2"/>
  <c r="E31" i="2"/>
  <c r="D31" i="2"/>
  <c r="C31" i="2"/>
  <c r="B31" i="2"/>
  <c r="H47" i="2"/>
  <c r="G47" i="2"/>
  <c r="F47" i="2"/>
  <c r="E47" i="2"/>
  <c r="D47" i="2"/>
  <c r="C47" i="2"/>
  <c r="H46" i="2"/>
  <c r="G46" i="2"/>
  <c r="F46" i="2"/>
  <c r="E46" i="2"/>
  <c r="D46" i="2"/>
  <c r="C46" i="2"/>
  <c r="H44" i="2"/>
  <c r="G44" i="2"/>
  <c r="F44" i="2"/>
  <c r="E44" i="2"/>
  <c r="D44" i="2"/>
  <c r="C44" i="2"/>
  <c r="H43" i="2"/>
  <c r="G43" i="2"/>
  <c r="F43" i="2"/>
  <c r="E43" i="2"/>
  <c r="D43" i="2"/>
  <c r="C43" i="2"/>
  <c r="H42" i="2"/>
  <c r="G42" i="2"/>
  <c r="F42" i="2"/>
  <c r="E42" i="2"/>
  <c r="D42" i="2"/>
  <c r="C42" i="2"/>
  <c r="H41" i="2"/>
  <c r="F41" i="2"/>
  <c r="E41" i="2"/>
  <c r="D41" i="2"/>
  <c r="C41" i="2"/>
  <c r="H40" i="2"/>
  <c r="E40" i="2"/>
  <c r="D40" i="2"/>
  <c r="C40" i="2"/>
  <c r="H39" i="2"/>
  <c r="G39" i="2"/>
  <c r="F39" i="2"/>
  <c r="E39" i="2"/>
  <c r="D39" i="2"/>
  <c r="C39" i="2"/>
  <c r="H38" i="2"/>
  <c r="G38" i="2"/>
  <c r="F38" i="2"/>
  <c r="E38" i="2"/>
  <c r="D38" i="2"/>
  <c r="C38" i="2"/>
  <c r="H20" i="2"/>
  <c r="E20" i="2"/>
  <c r="H19" i="2"/>
  <c r="G19" i="2"/>
  <c r="F19" i="2"/>
  <c r="E19" i="2"/>
  <c r="D19" i="2"/>
  <c r="C19" i="2"/>
  <c r="H18" i="2"/>
  <c r="G18" i="2"/>
  <c r="F18" i="2"/>
  <c r="E18" i="2"/>
  <c r="D18" i="2"/>
  <c r="C18" i="2"/>
  <c r="H16" i="2"/>
  <c r="G16" i="2"/>
  <c r="F16" i="2"/>
  <c r="E16" i="2"/>
  <c r="D16" i="2"/>
  <c r="C16" i="2"/>
  <c r="H15" i="2"/>
  <c r="E15" i="2"/>
  <c r="H14" i="2"/>
  <c r="G14" i="2"/>
  <c r="F14" i="2"/>
  <c r="E14" i="2"/>
  <c r="D14" i="2"/>
  <c r="C14" i="2"/>
  <c r="H30" i="2"/>
  <c r="G30" i="2"/>
  <c r="F30" i="2"/>
  <c r="E30" i="2"/>
  <c r="D30" i="2"/>
  <c r="C30" i="2"/>
  <c r="H29" i="2"/>
  <c r="G29" i="2"/>
  <c r="F29" i="2"/>
  <c r="E29" i="2"/>
  <c r="H28" i="2"/>
  <c r="G28" i="2"/>
  <c r="F28" i="2"/>
  <c r="E28" i="2"/>
  <c r="D28" i="2"/>
  <c r="C28" i="2"/>
  <c r="H27" i="2"/>
  <c r="G27" i="2"/>
  <c r="F27" i="2"/>
  <c r="H25" i="2"/>
  <c r="G25" i="2"/>
  <c r="F25" i="2"/>
  <c r="E25" i="2"/>
  <c r="D25" i="2"/>
  <c r="C25" i="2"/>
  <c r="H24" i="2"/>
  <c r="G24" i="2"/>
  <c r="F24" i="2"/>
  <c r="E24" i="2"/>
  <c r="D24" i="2"/>
  <c r="C24" i="2"/>
  <c r="H23" i="2"/>
  <c r="G23" i="2"/>
  <c r="F23" i="2"/>
  <c r="E23" i="2"/>
  <c r="D23" i="2"/>
  <c r="C23" i="2"/>
  <c r="H22" i="2"/>
  <c r="G22" i="2"/>
  <c r="F22" i="2"/>
  <c r="E22" i="2"/>
  <c r="R187" i="1" l="1"/>
  <c r="Q188" i="1"/>
  <c r="Q187" i="1" s="1"/>
  <c r="G41" i="2"/>
  <c r="G15" i="2"/>
  <c r="F15" i="2"/>
  <c r="P204" i="1"/>
  <c r="E27" i="2" l="1"/>
  <c r="E8" i="2" s="1"/>
  <c r="F20" i="2"/>
  <c r="G20" i="2"/>
  <c r="F40" i="2"/>
  <c r="G40" i="2"/>
  <c r="O204" i="1"/>
  <c r="D29" i="2"/>
  <c r="C29" i="2"/>
  <c r="O188" i="1"/>
  <c r="N188" i="1"/>
  <c r="D22" i="2"/>
  <c r="C22" i="2"/>
  <c r="O187" i="1" l="1"/>
  <c r="N187" i="1"/>
  <c r="N204" i="1"/>
  <c r="C20" i="2"/>
  <c r="D20" i="2"/>
  <c r="C27" i="2"/>
  <c r="D27" i="2"/>
  <c r="D15" i="2"/>
  <c r="C15" i="2"/>
  <c r="C8" i="2" l="1"/>
  <c r="D8" i="2"/>
  <c r="O9" i="1" l="1"/>
  <c r="F37" i="2"/>
  <c r="G37" i="2"/>
  <c r="E37" i="2"/>
  <c r="E48" i="2" s="1"/>
  <c r="H37" i="2"/>
  <c r="D37" i="2"/>
  <c r="D48" i="2" s="1"/>
  <c r="C37" i="2"/>
  <c r="C48" i="2" s="1"/>
  <c r="Q165" i="1" l="1"/>
  <c r="G8" i="2"/>
  <c r="G48" i="2" s="1"/>
  <c r="G50" i="2" s="1"/>
  <c r="G53" i="2" s="1"/>
  <c r="R165" i="1"/>
  <c r="Q63" i="1"/>
  <c r="E50" i="2"/>
  <c r="E53" i="2" s="1"/>
  <c r="S165" i="1" l="1"/>
  <c r="F8" i="2"/>
  <c r="F48" i="2" s="1"/>
  <c r="F50" i="2" s="1"/>
  <c r="F53" i="2" s="1"/>
  <c r="H8" i="2" l="1"/>
  <c r="H48" i="2" s="1"/>
  <c r="H50" i="2" s="1"/>
  <c r="H53" i="2" s="1"/>
  <c r="C50" i="2"/>
  <c r="C53" i="2" s="1"/>
  <c r="D50" i="2"/>
  <c r="D53" i="2" s="1"/>
  <c r="S221" i="1" l="1"/>
  <c r="S220" i="1" s="1"/>
  <c r="R221" i="1"/>
  <c r="R220" i="1" s="1"/>
  <c r="Q221" i="1"/>
  <c r="Q225" i="1" s="1"/>
  <c r="P221" i="1"/>
  <c r="P225" i="1" s="1"/>
  <c r="O221" i="1"/>
  <c r="N221" i="1"/>
  <c r="S217" i="1"/>
  <c r="R217" i="1"/>
  <c r="O217" i="1"/>
  <c r="O225" i="1" s="1"/>
  <c r="N217" i="1"/>
  <c r="N225" i="1" s="1"/>
  <c r="R129" i="1"/>
  <c r="Q129" i="1"/>
  <c r="O162" i="1"/>
  <c r="N162" i="1"/>
  <c r="S77" i="1"/>
  <c r="S76" i="1" s="1"/>
  <c r="R77" i="1"/>
  <c r="R76" i="1" s="1"/>
  <c r="Q77" i="1"/>
  <c r="Q76" i="1" s="1"/>
  <c r="P77" i="1"/>
  <c r="P76" i="1" s="1"/>
  <c r="O77" i="1"/>
  <c r="N77" i="1"/>
  <c r="N224" i="1" s="1"/>
  <c r="S60" i="1"/>
  <c r="S227" i="1" s="1"/>
  <c r="R60" i="1"/>
  <c r="R227" i="1" s="1"/>
  <c r="Q60" i="1"/>
  <c r="Q227" i="1" s="1"/>
  <c r="P227" i="1"/>
  <c r="O60" i="1"/>
  <c r="O227" i="1" s="1"/>
  <c r="N60" i="1"/>
  <c r="S48" i="1"/>
  <c r="R48" i="1"/>
  <c r="R224" i="1" s="1"/>
  <c r="Q48" i="1"/>
  <c r="P48" i="1"/>
  <c r="O48" i="1"/>
  <c r="S224" i="1" l="1"/>
  <c r="S225" i="1"/>
  <c r="P224" i="1"/>
  <c r="O224" i="1"/>
  <c r="O229" i="1" s="1"/>
  <c r="R225" i="1"/>
  <c r="R229" i="1" s="1"/>
  <c r="R231" i="1" s="1"/>
  <c r="Q224" i="1"/>
  <c r="N47" i="1"/>
  <c r="N227" i="1"/>
  <c r="N229" i="1" s="1"/>
  <c r="P220" i="1"/>
  <c r="Q220" i="1"/>
  <c r="O129" i="1"/>
  <c r="N129" i="1"/>
  <c r="S129" i="1"/>
  <c r="O76" i="1"/>
  <c r="N220" i="1"/>
  <c r="O220" i="1"/>
  <c r="Q47" i="1"/>
  <c r="R47" i="1"/>
  <c r="N76" i="1"/>
  <c r="P47" i="1"/>
  <c r="S47" i="1"/>
  <c r="O47" i="1"/>
  <c r="S216" i="1"/>
  <c r="R216" i="1"/>
  <c r="N216" i="1"/>
  <c r="O216" i="1"/>
  <c r="S229" i="1" l="1"/>
  <c r="S231" i="1" s="1"/>
  <c r="P229" i="1"/>
  <c r="P231" i="1" s="1"/>
  <c r="Q229" i="1"/>
  <c r="Q231" i="1" s="1"/>
</calcChain>
</file>

<file path=xl/comments1.xml><?xml version="1.0" encoding="utf-8"?>
<comments xmlns="http://schemas.openxmlformats.org/spreadsheetml/2006/main">
  <authors>
    <author>121</author>
  </authors>
  <commentList>
    <comment ref="K119" authorId="0">
      <text>
        <r>
          <rPr>
            <b/>
            <sz val="9"/>
            <color indexed="81"/>
            <rFont val="Tahoma"/>
            <family val="2"/>
            <charset val="204"/>
          </rPr>
          <t>121:</t>
        </r>
        <r>
          <rPr>
            <sz val="9"/>
            <color indexed="81"/>
            <rFont val="Tahoma"/>
            <family val="2"/>
            <charset val="204"/>
          </rPr>
          <t xml:space="preserve">
переработать
МКУ УО</t>
        </r>
      </text>
    </comment>
    <comment ref="K146"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t>
        </r>
      </text>
    </comment>
    <comment ref="K151"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
</t>
        </r>
      </text>
    </comment>
    <comment ref="K164" authorId="0">
      <text>
        <r>
          <rPr>
            <b/>
            <sz val="9"/>
            <color indexed="81"/>
            <rFont val="Tahoma"/>
            <family val="2"/>
            <charset val="204"/>
          </rPr>
          <t>121:</t>
        </r>
        <r>
          <rPr>
            <sz val="9"/>
            <color indexed="81"/>
            <rFont val="Tahoma"/>
            <family val="2"/>
            <charset val="204"/>
          </rPr>
          <t xml:space="preserve">
есть документы, которые утратили силу или отменены</t>
        </r>
      </text>
    </comment>
  </commentList>
</comments>
</file>

<file path=xl/sharedStrings.xml><?xml version="1.0" encoding="utf-8"?>
<sst xmlns="http://schemas.openxmlformats.org/spreadsheetml/2006/main" count="1132" uniqueCount="607">
  <si>
    <t>Код расходного обязательства</t>
  </si>
  <si>
    <t>Содержание расходного обязательства</t>
  </si>
  <si>
    <t>Коды классификации расходов бюджетов</t>
  </si>
  <si>
    <t>Код ГРБС</t>
  </si>
  <si>
    <t>Р/ПР</t>
  </si>
  <si>
    <t>Нормативные правовые акты, договоры, соглашения РФ</t>
  </si>
  <si>
    <t>Наименование и реквизиты нормативного правового акта</t>
  </si>
  <si>
    <t>Номер статьи (подстатьи), пункта (подпункта)</t>
  </si>
  <si>
    <t>Дата вступления в силу и срок действия</t>
  </si>
  <si>
    <t>Нормативные правовые акты, договоры, соглашения субъекта РФ</t>
  </si>
  <si>
    <t>Нормативные правовые акты, договоры, соглашения муниципального образования</t>
  </si>
  <si>
    <t>план</t>
  </si>
  <si>
    <t>факт</t>
  </si>
  <si>
    <t>Отчетный финансовый год</t>
  </si>
  <si>
    <t>Текущий (очередной) финансовый год</t>
  </si>
  <si>
    <t>Плановый период</t>
  </si>
  <si>
    <t>Объем средств на исполнение расходного обязательства</t>
  </si>
  <si>
    <t>рублей</t>
  </si>
  <si>
    <t>Администрация города Канска</t>
  </si>
  <si>
    <t>0102,0103,0104,0113</t>
  </si>
  <si>
    <t>Федеральный закон от 06.10.2003 № 131-ФЗ "Об общих принципах организации местного самоуправления в Российской Федерации"</t>
  </si>
  <si>
    <t>01.01.2009 - не установ</t>
  </si>
  <si>
    <t>Федеральный закон от 02.03.2007 № 25-ФЗ "О муниципальной службе в Российской Федерации"</t>
  </si>
  <si>
    <t>01.06.2007 - не установ</t>
  </si>
  <si>
    <t>Закон Красноярского края от 24.04.2008 № 5-1565 "Об особенностях правового регулирования муниципальной службы в Красноярском крае"</t>
  </si>
  <si>
    <t>Ст.в целом</t>
  </si>
  <si>
    <t>01.07.2008 - не установ</t>
  </si>
  <si>
    <t xml:space="preserve">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 </t>
  </si>
  <si>
    <t>01.01.2008 - не установ</t>
  </si>
  <si>
    <t>Устав от 27.01.1998 № 47-9Р "Устав города Канска"</t>
  </si>
  <si>
    <t>06.02.1998  - не установ</t>
  </si>
  <si>
    <t>Постановление администрации города Канска от 02.03.2017 г. №180 "Об утверждении Положения о порядке поощрения лиц, привлекаемых для выполнения отдельных полномочий по охране общественного порядка и профилактике правонарушений на  территории муниципального  образования город Канск"</t>
  </si>
  <si>
    <t>08.03.2017 - не установ</t>
  </si>
  <si>
    <t>Ст.34;Пункт 9 Ст.35;Пункт 15 Ст.53;Пункт 2</t>
  </si>
  <si>
    <t>0113</t>
  </si>
  <si>
    <t>Ст.17; пункт 1, п/пункт 3</t>
  </si>
  <si>
    <t>ст.30</t>
  </si>
  <si>
    <t>06.02.1998 - не установ</t>
  </si>
  <si>
    <t>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</si>
  <si>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ст.6 п.6</t>
  </si>
  <si>
    <t>0501, 1003</t>
  </si>
  <si>
    <t xml:space="preserve">формирование и содержание муниципального архива </t>
  </si>
  <si>
    <t>ст. 16 п. 22</t>
  </si>
  <si>
    <t>Постановление администрации г. Канска Красноярского края от 24.02.2012 №227 "Об утверждении Административного регламента по предоставлению муниципальной услуги "Организация информационного обеспечения граждан, организаций и общественных объеденений на основе документов Архивного фонда РФ и других  архивных объектов".</t>
  </si>
  <si>
    <t>29.02.2012- не установ</t>
  </si>
  <si>
    <t>Федеральный закон от 24.07.2007 № 209-ФЗ "О развитии малого и среднего предпринимательства в Российской Федерации"</t>
  </si>
  <si>
    <t>ст.11</t>
  </si>
  <si>
    <t>ст.16, пункт 1, п/пункт 33</t>
  </si>
  <si>
    <t>ст.в целом</t>
  </si>
  <si>
    <t>10.04.2017 - не установ</t>
  </si>
  <si>
    <t xml:space="preserve">Расходные обязательства, возникшие в результате реализации органами местного самоуправления городского округа делегированных полномочий за счет субвенций, переданных из других бюджетов бюджетной системы Российской Федерации </t>
  </si>
  <si>
    <t>РГ-В</t>
  </si>
  <si>
    <t xml:space="preserve">Расходные обязательства, связанные с реализацией вопросов местного значения городских округов и полномочий органов местного самоуправления по решению вопросов местного значения </t>
  </si>
  <si>
    <t>РГ-А</t>
  </si>
  <si>
    <t>Федеральный закон от 22.10.2004 № 125-ФЗ "Об архивном деле в Российской Федерации"</t>
  </si>
  <si>
    <t>ст.4</t>
  </si>
  <si>
    <t>19.12.2006 - не установ</t>
  </si>
  <si>
    <t>Закон Красноярского края от 21.12.2010 № 11-5564 "О наделении органов местного самоуправления государственными полномочиями в области архивного дела"</t>
  </si>
  <si>
    <t>30.12.2010 - не установ</t>
  </si>
  <si>
    <t>Субвенции бюджетам муниципальных образований края на реализацию Закона края от 30 января 2014 года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</si>
  <si>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0104</t>
  </si>
  <si>
    <t>Закон Красноярского края от 30.01.2014 № 6-2056 О наделении органов местного самоуправления городских округов и муниципальных районов края государственными полномочиями по осуществлению уведомительной регистрации коллективных договоров и территориальных соглашений и контроля за их выполнением</t>
  </si>
  <si>
    <t>19.02.2014 - не установ</t>
  </si>
  <si>
    <t>19.11.2014 - не установ</t>
  </si>
  <si>
    <t>Субвенции бюджетам муниципальных образований края на реализацию Закона края от 26 декабря 2006 года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</si>
  <si>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Закон Красноярского края от 26.12.2006 № 21-5589 "О наделении органов местного самоуправления муниципальных районов и городских округов края государственными полномочиями по созданию и обеспечению деятельности комиссий по делам несовершеннолетних и защите их прав"</t>
  </si>
  <si>
    <t>01.01.2007 - не установ</t>
  </si>
  <si>
    <t>Закон Красноярского края от 31.10.2002 № 4-608 "О системе профилактики безнадзорности и правонарушений несовершеннолетних"</t>
  </si>
  <si>
    <t>08.12.2002 - не установ</t>
  </si>
  <si>
    <t>Постановление администрации г. Канска Красноярского края  от 21.10.2010 № 1814 "Об утверждении Порядка расходования субвенции, направленной на осуществление государственных полномочий по созданию и обеспечению деятельности комиссии по делам несовершеннолетних и защите их прав"</t>
  </si>
  <si>
    <t>03.11.2010 - не установ</t>
  </si>
  <si>
    <t>Субвенции бюджетам муниципальных образований края на реализацию Закона края от 23 апреля 2009 года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</si>
  <si>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</si>
  <si>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29.05.2009 - не установ</t>
  </si>
  <si>
    <t>Закон Красноярского края от 23.04.2009 № 8-3168 "Об административных комиссиях в Красноярском крае"</t>
  </si>
  <si>
    <t>28.05.2009 - не установ</t>
  </si>
  <si>
    <t>Федеральный закон от 20.08.2004 № 113-ФЗ "О присяжных заседателях федеральных судов общей юрисдикции в Российской Федерации"</t>
  </si>
  <si>
    <t>0105</t>
  </si>
  <si>
    <t>03.09.2004 - не установ</t>
  </si>
  <si>
    <t>Постановление Правительства Красноярского края от 31.07.2009 № 391-п "О Порядке и сроках составления общего и запасного списков кандидатов в присяжные заседатели Красноярского края"</t>
  </si>
  <si>
    <t>18.08.2009 - не установ</t>
  </si>
  <si>
    <t>29.06.2016- не установ</t>
  </si>
  <si>
    <t>Постановление администрации г.Канска Красноярского края от 13.11.2014 № 1889 Об утверждении порядка расходования субвенции, направленной  на осуществление органами местного самоуправления переданных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t>
  </si>
  <si>
    <t>Комитет по управлению муниципальным имуществом</t>
  </si>
  <si>
    <t xml:space="preserve">владение, пользование и распоряжение имуществом, находящимся в муниципальной собственности городского округа </t>
  </si>
  <si>
    <t>06.10.2003 - не установ</t>
  </si>
  <si>
    <t>Федеральный закон от 21.12.2001 № 178-ФЗ "О приватизации государственного и муниципального имущества"</t>
  </si>
  <si>
    <t xml:space="preserve">ст.3 </t>
  </si>
  <si>
    <t>ст.16, пункт 1, п/пункт 3</t>
  </si>
  <si>
    <t>28.04.2002 - не установ</t>
  </si>
  <si>
    <t>Федеральный закон от 21.07.2007 № 185-ФЗ "О Фонде содействия реформированию жилищно-коммунального хозяйства"</t>
  </si>
  <si>
    <t>ст.14</t>
  </si>
  <si>
    <t>07.08.2007 - не установ</t>
  </si>
  <si>
    <t>Постановление Правительства РФ от 13.10.1997 № 1301 "О государственном учете жилищного фонда в Российской Федерации"</t>
  </si>
  <si>
    <t>30.10.1997 - не установ</t>
  </si>
  <si>
    <t>Закон Красноярского края от 05.06.2008 № 5-1732 "О порядке безвозмездной передачи в муниципальную собственность имущества, находящегося в государственной собственности края, и безвозмездного приема имущества, находящегося в муниципальной собственности, в государственную собственность края"</t>
  </si>
  <si>
    <t>Закон Красноярского края от 26.05.2009 № 8-3290 "О порядке разграничения имущества между муниципальными образованиями края"</t>
  </si>
  <si>
    <t>20.06.2009 - не установ</t>
  </si>
  <si>
    <t>Постановление  администрации Красноярского  края от 06.04.2000 № 255-п "Об утверждении Положения по установлению ставок для проведения паспортизации и плановой технической инвентаризации жилых строений и жилых помещений"</t>
  </si>
  <si>
    <t>30.04.2000 - не установ</t>
  </si>
  <si>
    <t>22.02.2011 - не установ</t>
  </si>
  <si>
    <t>Решение Канского городского Совета депутатов от 15.12.2010 № 11-73 "О Положении о Муниципальном казенном учреждении "Комитет по управлению муниципальным имуществом города Канска"</t>
  </si>
  <si>
    <t>28.12.2010 - не установ</t>
  </si>
  <si>
    <t>Решение Канского городского Совета депутатов от 26.01.2001 г.№ 52-383 "О положении о городской казне"</t>
  </si>
  <si>
    <t>26.01.2001 - не установ</t>
  </si>
  <si>
    <t>ст.6 п.3</t>
  </si>
  <si>
    <t>0501</t>
  </si>
  <si>
    <t>ст.16, пункт 1, п/пункт 6</t>
  </si>
  <si>
    <t>ст.6 п 6</t>
  </si>
  <si>
    <t xml:space="preserve">утверждение генеральных планов ГО, правил землепользования и застройки, утверждение подготовленной на основе генеральных планов ГО документации по планировке территории, выдача разрешений на строительство (за исключением случаев, предусмотренных Градостр. кодексом РФ, иными ФЗ),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 ведение информационной системы обеспечения градостроительной деятельности, осуществляемой на территории ГО, резервирование земель и изъятие, в том числе путем выкупа, земельных участков в границах ГО для муниципальных нужд, осуществление муниципального земельного контроля в границах ГО, осуществление в случаях, предусмотренных Градостр. кодексом РФ, осмотров зданий, сооружений и выдача рекомендаций об устранении выявленных в ходе таких осмотров нарушений </t>
  </si>
  <si>
    <t>0113, 0412</t>
  </si>
  <si>
    <t>ст.16, пункт 1, п/пункт 26</t>
  </si>
  <si>
    <t>Закон Красноярского края от 04.12.2008 № 7-2542 "О регулировании земельных отношений в Красноярском крае"</t>
  </si>
  <si>
    <t>ст.7</t>
  </si>
  <si>
    <t>04.01.2009 - не установ</t>
  </si>
  <si>
    <t>Постановление администрации г.Канска Красноярского края от 21.10.2010 № 9-45 "О Правилах землепользования и застройки города Канска"</t>
  </si>
  <si>
    <t>10.11.2010 - не установ</t>
  </si>
  <si>
    <t>1004</t>
  </si>
  <si>
    <t>Закон Красноярского края от 24.12.2009 № 9-4225 "О наделении органов местного самоуправления отдельных муниципальных районов и городских округов края государственными полномочиями по обеспечению жилыми помещениями детей-сирот и детей, оставшихся без попечения родителей, а также лиц из их числа, не имеющих жилого помещения"</t>
  </si>
  <si>
    <t>01.01.2010 - не установ</t>
  </si>
  <si>
    <t>Закон Красноярского края от 02.11.2000 № 12-961 "О защите прав ребенка"</t>
  </si>
  <si>
    <t>ст.17</t>
  </si>
  <si>
    <t>09.12.2000 - не установ</t>
  </si>
  <si>
    <t>Финансовое управление администрации города Канска</t>
  </si>
  <si>
    <t xml:space="preserve">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 </t>
  </si>
  <si>
    <t>0106, 0111, 0113</t>
  </si>
  <si>
    <t>ст16, пункт 1, п/пункт 1</t>
  </si>
  <si>
    <t>01.01.2011 - не установ</t>
  </si>
  <si>
    <t xml:space="preserve">Решение Канского городского Совета депутатов №31-170 от 15.03.2012 г. "О положении о Контрольно-счетной комиссии города Канска" </t>
  </si>
  <si>
    <t>21.03.2012 - не установ</t>
  </si>
  <si>
    <t xml:space="preserve">муниципальное казенное учреждение "Управление по делам гражданской обороны и чрезвычайным ситуациям администрации города Канска" </t>
  </si>
  <si>
    <t xml:space="preserve">участие в предупреждении и ликвидации последствий чрезвычайных ситуаций в границах городского округа </t>
  </si>
  <si>
    <t>Федеральный закон от 21.12.1994 № 68-ФЗ "О защите населения и территорий от чрезвычайных ситуаций природного и техногенного характера"</t>
  </si>
  <si>
    <t>0309</t>
  </si>
  <si>
    <t>ст.11, пункт 2</t>
  </si>
  <si>
    <t>24.12.1994 - не установ</t>
  </si>
  <si>
    <t>Закон Красноярского края от 02.11.2001 № 16-1558 "О резервах материально-технических ресурсов для ликвидации чрезвычайных ситуаций на территории Красноярского края"</t>
  </si>
  <si>
    <t>03.12.2001 - не установ</t>
  </si>
  <si>
    <t>Закон Красноярского края от 10.02.2000 № 9-631 "О защите населения и территории Красноярского края от чрезвычайных ситуаций природного и техногенного характера"</t>
  </si>
  <si>
    <t>ст.9, пункт 1, п/пункт "и"</t>
  </si>
  <si>
    <t>01.03.2000 - не установ</t>
  </si>
  <si>
    <t>Постановление администрации г. Канска Красноярского края от 19.08.2015 №1308 "О городском звене территориальной подсистемы единой государственной системы предупреждения и ликвидации чрезвычайных ситуаций Красноярского края города Канска"</t>
  </si>
  <si>
    <t>Постановление администрации г. Канска Красноярского края от 20.11.2012 N 1770 (ред. от 06.11.2014) "Об утверждении Положения об автоматизированной системе централизованного оповещения гражданской обороны города Канска"</t>
  </si>
  <si>
    <t xml:space="preserve">обеспечение первичных мер пожарной безопасности в границах городского округа </t>
  </si>
  <si>
    <t>Федеральный закон от 21.12.1994 № 69-ФЗ "О пожарной безопасности"</t>
  </si>
  <si>
    <t>05.01.1995 - не установ</t>
  </si>
  <si>
    <t>ст.16, пункт 1, п/пункт 10</t>
  </si>
  <si>
    <t>ст.10;абз.3
ст.19
ст.31;абз.2</t>
  </si>
  <si>
    <t>ст.6 п 31</t>
  </si>
  <si>
    <t>Управление образование администрации города Канска</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</si>
  <si>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t>
  </si>
  <si>
    <t>0701,0702,0703,0707,0709</t>
  </si>
  <si>
    <t>ст.16, пункт 1, п/пункт 13</t>
  </si>
  <si>
    <t>Закон Красноярского края от 07.07.2009 № 8-3618  "Об обеспечении прав детей на отдых, оздоровление и занятость в Красноярском крае"</t>
  </si>
  <si>
    <t>31.07.2009 - не установ</t>
  </si>
  <si>
    <t>Закон Красноярского края от 26.06.2014 № 6-2519 "Об образовании в Красноярском крае"</t>
  </si>
  <si>
    <t>26.07.2014 - не установ</t>
  </si>
  <si>
    <t>ст.6 п 7.</t>
  </si>
  <si>
    <t>Постановление администрации города Канска от 20.03.2015 №397 "Об утверждении Положения о порядке установления и взимания родительской платы за присмотр и уход за детьми в образовательных учреждениях города Канска, реализующих образовательную программу дошкольного образования"</t>
  </si>
  <si>
    <t>01.04.2015 - не установ</t>
  </si>
  <si>
    <t>Решение Канского городского совета депутатов от 15.12.2010 № 11-74 "О положении о Муниципальном казенном учреждении "Управление образования администрации города Канска"</t>
  </si>
  <si>
    <t>29.12.2010 - не установ</t>
  </si>
  <si>
    <t>0702</t>
  </si>
  <si>
    <t>Федеральный закон от 29.12.2012 № 273-ФЗ "Об образовании в Российской Федерации"</t>
  </si>
  <si>
    <t>ст.8, часть 1, пункт 3</t>
  </si>
  <si>
    <t>30.12.2012 - не установ</t>
  </si>
  <si>
    <t>Постановление администрации города Канска от 16.06.2016 №541 "Об утверждении порядка расходования субвенций на финансовое обеспечение государственных гарантий реализации прав граждан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расположенных на территории Красноярского края"</t>
  </si>
  <si>
    <t xml:space="preserve">Субвенции бюджетам муниципальных образований края на реализацию Закона края от 27 декабря 2005 года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и негосударственных образовательных учреждениях, реализующих основные общеобразовательные программы, без взимания платы" </t>
  </si>
  <si>
    <t>Закон Красноярского края от 27.12.2005 № 17-4377 "О наделении органов местного самоуправления муниципальных районов и городских округов края государственными полномочиями по обеспечению питанием детей, обучающихся в муниципальных образовательных учреждениях, реализующих основные общеобразовательные программы, без взимания платы"</t>
  </si>
  <si>
    <t>cт.в целом</t>
  </si>
  <si>
    <t>13.01.2006 - не установ</t>
  </si>
  <si>
    <t>Постановление администрации г.Канска Красноярского края от 20.05.2010 № 803 "Об утверждении Порядка расходования субвенции на обеспечение питанием детей, обучающихся в муниципальных образовательных учреждениях, реализующих основные общеобразовательные программы, без взимания платы"</t>
  </si>
  <si>
    <t>09.06.2010 - не установ</t>
  </si>
  <si>
    <t>Субвенции бюджетам муниципальных образований края на реализацию Закона края от 27 декабря 2005 года № 17-4379 "О наделении органов местного самоуправления муниципальных районов и городских округов края государственными полномочиями поосуществлению присмотра и ухода за детьми-инвалидами, деьтми-сиротами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</si>
  <si>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Закон Красноярского края от 27.12.2005 № 17-4379 "О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t>
  </si>
  <si>
    <t>01.01.2006 - не установ</t>
  </si>
  <si>
    <t>Постановление администрации г.Канска Красноярского края от 08.05.2014 № 671 "Об утверждении порядка расходования средств субвенции на осуществление государственных полномочий по осуществлению присмотра и уходу за детьми-инвалидами, детьми-сиротами и детьми, оставшимися без попечения родителей, а также за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и об отмене постановления администрации г. Канска от 15.06.2010 №940, от 02.04.2012 №469"</t>
  </si>
  <si>
    <t>14.05.2014 - не установ</t>
  </si>
  <si>
    <t>Субвенции бюджетам муниципальных образований края на реализацию Закона края от 29 марта 2007 года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</si>
  <si>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Закон Красноярского края от 29.03.2007 № 22-6015 "О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t>
  </si>
  <si>
    <t>25.04.2007 - не установ</t>
  </si>
  <si>
    <t>02.08.2017 - не установ</t>
  </si>
  <si>
    <t>0701</t>
  </si>
  <si>
    <t>Постановление администрации г. Канска Красноярского края от 17.10.2016 N 1045 "Об утверждении Порядка расходования средств субвенции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образования в муниципальных общеобразовательных организациях"</t>
  </si>
  <si>
    <t>19.10.2016 - не установ</t>
  </si>
  <si>
    <t>0709</t>
  </si>
  <si>
    <t>Закон Красноярского края от 20.12.2007 № 4-1089 "О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t>
  </si>
  <si>
    <t>Постановление администрации города Канска от 13.05.2010 № 754 "Об утверждении порядка расходования субвенции направленной на осуществление государственных полномочий по организации и осуществлению деятельности по опеке и попечительству в отношении несовершеннолетних"</t>
  </si>
  <si>
    <t>19.05.2010 - не установ</t>
  </si>
  <si>
    <t>0505</t>
  </si>
  <si>
    <t>Постановление администрации города Канска от 31.12.10 № 2229 "Об утверждении Устава МУ "Служба заказчика"</t>
  </si>
  <si>
    <t>31.12.2010 не установ</t>
  </si>
  <si>
    <t>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</si>
  <si>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0502</t>
  </si>
  <si>
    <t>ст.16, пункт 1, п/пункт 4
ст.16, пункт 1, п/пункт 5</t>
  </si>
  <si>
    <t>Федеральный закон от 30.12.2004 № 210-ФЗ "Об основах регулирования тарифов организаций коммунального комплекса"</t>
  </si>
  <si>
    <t>ст. 5</t>
  </si>
  <si>
    <t>Постановление  администрации Красноярского  края от 24.05.1999 № 286-п "О Концепции реформирования и модернизации жилищно-коммунального хозяйства Красноярского края"</t>
  </si>
  <si>
    <t>ст. в целом</t>
  </si>
  <si>
    <t>24.05.1999 - не установ</t>
  </si>
  <si>
    <t>ст.6 п 4</t>
  </si>
  <si>
    <t xml:space="preserve">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городского округа,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</si>
  <si>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0409</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</si>
  <si>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</si>
  <si>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 13, 34
ст.6, пункт 9</t>
  </si>
  <si>
    <t>12.11.2007 - не установ</t>
  </si>
  <si>
    <t>Закон Красноярского края от 10.11.2011 № 13-6411 "О дорожном фонде Красноярского края"</t>
  </si>
  <si>
    <t>01.01.2012 - не установ</t>
  </si>
  <si>
    <t>Постановление администрации г.Канска Красноярского края от 31.01.2013 № 82 "Об утверждении Порядка содержания и ремонта автомобильных дорог общего пользования местного значения на территории города Канска"</t>
  </si>
  <si>
    <t>06.02.2013 - не установ</t>
  </si>
  <si>
    <t>Решение Канского городского Совета депутатов от 25.09.2013 г. №52-278 "О муниципальном дорожном фонде города Канска"</t>
  </si>
  <si>
    <t>01.01.2014 - не установ</t>
  </si>
  <si>
    <t>ст.6 п 18</t>
  </si>
  <si>
    <t>cт.16, пункт 1, п/пункт 6</t>
  </si>
  <si>
    <t xml:space="preserve">создание условий для предоставления транспортных услуг населению и организация транспортного обслуживания населения в границах городского округа </t>
  </si>
  <si>
    <t>0408</t>
  </si>
  <si>
    <t>cт.16, пункт 1, п/пункт 7</t>
  </si>
  <si>
    <t xml:space="preserve">Постановление  администрации Красноярского  края от 24.09.2001 № 670-п "О государственном регулировании цен (тарифов) в крае" </t>
  </si>
  <si>
    <t>14.10.2001 - не установ</t>
  </si>
  <si>
    <t>Закон Красноярского края от 09.12.2010 № 11-5424 "О транспортном обслуживании населения в Красноярском крае"</t>
  </si>
  <si>
    <t>ст. 7</t>
  </si>
  <si>
    <t>08.01.2011 - не установ</t>
  </si>
  <si>
    <t>01.02.2017 - не установ</t>
  </si>
  <si>
    <t xml:space="preserve">создание условий для обеспечения жителей городского округа услугами связи, общественного питания, торговли и бытового обслуживания </t>
  </si>
  <si>
    <t>ст.16, пункт 1, п/пункт 15</t>
  </si>
  <si>
    <t xml:space="preserve">создание условий для массового отдыха жителей городского округа и организация обустройства мест массового отдыха населения </t>
  </si>
  <si>
    <t>ст.16, пункт 1, п/пункт 20</t>
  </si>
  <si>
    <t>Закон Красноярского края от 28.06.2007 № 2-190 "О культуре"</t>
  </si>
  <si>
    <t>31.07.2007 - не установ</t>
  </si>
  <si>
    <t>ст.10, пункт 1, п/пункт "б"
ст.22</t>
  </si>
  <si>
    <t>Постановление администрации города Канска  от 23.04.2012 № 620 "Об утверждении Положения о порядке предоставления и расходования средств на организацию и проведение акарицидных обработок мест массового отдыха населения"</t>
  </si>
  <si>
    <t>02.05.2012 - не установ</t>
  </si>
  <si>
    <t>ст.6 п 12.</t>
  </si>
  <si>
    <t xml:space="preserve">организация ритуальных услуг и содержание мест захоронения </t>
  </si>
  <si>
    <t>0503</t>
  </si>
  <si>
    <t>ст.16, пункт 1, п/пункт 23</t>
  </si>
  <si>
    <t xml:space="preserve">Федеральный закон от 12.01.1996 № 8-ФЗ "О погребении и похоронном деле"  </t>
  </si>
  <si>
    <t>ст.9, пункт 3</t>
  </si>
  <si>
    <t>15.01.1996 - не установ</t>
  </si>
  <si>
    <t>Закон Красноярского края от 24.04.1997 № 13-487 "О семейных (родовых) захоронениях на территории Красноярского края"</t>
  </si>
  <si>
    <t>18.05.1997 - не установ</t>
  </si>
  <si>
    <t>Постановление администрации города Канска  от 11.03.2010 № 320 "Об утверждении Положения о порядке расходования средств городского бюджета, выделяемых на оплату работ по организации содержания мест захоронения на кладбищах г. Канска"</t>
  </si>
  <si>
    <t>14.04.2010 - не установ</t>
  </si>
  <si>
    <t>ст.6 п 28.</t>
  </si>
  <si>
    <t>ст.16, пункт 1, п/пункт 24</t>
  </si>
  <si>
    <t>Федеральный закон от 24.06.1998 № 89-ФЗ "Об отходах производства и потребления"</t>
  </si>
  <si>
    <t>ст.8, пункт 1</t>
  </si>
  <si>
    <t>30.06.1998 - не установ</t>
  </si>
  <si>
    <t>Федеральный закон от 10.01.2002 № 7-ФЗ "Об охране окружающей среды"</t>
  </si>
  <si>
    <t>ст.7, пункт 1</t>
  </si>
  <si>
    <t>12.01.2002 - не установ</t>
  </si>
  <si>
    <t>Закон Красноярского края от 20.09.2013 № 5-1597 "Об экологической безопасности и охране окружающей среды в Красноярском крае"</t>
  </si>
  <si>
    <t>13.10.2013 - не установ</t>
  </si>
  <si>
    <t>ст.6 п 29.</t>
  </si>
  <si>
    <t>Постановление администрации города Канска от 23.09.2011 № 1775 "Об утверждении Порядка расходования средств, выделенных на разработку проектной документации и строительство полигона твердых бытовых отходов города Канска"</t>
  </si>
  <si>
    <t>28.09.2011 - не установ</t>
  </si>
  <si>
    <t xml:space="preserve">утверждение правил благоустройства территории городского округа,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округа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городского округа </t>
  </si>
  <si>
    <t>ст.16, пункт 1, п/пункт 25</t>
  </si>
  <si>
    <t>ст.6 п 23.</t>
  </si>
  <si>
    <t xml:space="preserve">Закон Красноярского края от 20.12.2012 № 3-959 "О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временных мер поддержки населения в целях обеспечения доступности коммунальных услуг" </t>
  </si>
  <si>
    <t>01.01.2013 - не установ</t>
  </si>
  <si>
    <t>Закон Красноярского края от 13.06.2013 № 4-1402 "О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 учету, содержанию и иному обращению с безнадзорными домашними животными"</t>
  </si>
  <si>
    <t>11.07.2013 - не установ</t>
  </si>
  <si>
    <t xml:space="preserve">Отдел физической культуры, спорта и молодежной политики администрации г. Канска </t>
  </si>
  <si>
    <t>1105</t>
  </si>
  <si>
    <t>28.11.2012 не установ</t>
  </si>
  <si>
    <t>0703</t>
  </si>
  <si>
    <t xml:space="preserve">организация и осуществление мероприятий по работе с детьми и молодежью в городском округе </t>
  </si>
  <si>
    <t>0707</t>
  </si>
  <si>
    <t>ст.16, пункт 1, п/пункт 34</t>
  </si>
  <si>
    <t>Закон Красноярского края от 08.12.2006 № 20-5445 "О государственной молодежной политике Красноярского края"</t>
  </si>
  <si>
    <t>ст. 8</t>
  </si>
  <si>
    <t>06.01.2008 - не установ</t>
  </si>
  <si>
    <t>Постановление администрации города Канска от 16.06.2010 № 945 "Об утверждении Порядка расходования субсидии на поддержку деятельности Муниципального учреждения "Многопрофильный молодежный центр" города Канска"</t>
  </si>
  <si>
    <t>23.06.2010 - не установ</t>
  </si>
  <si>
    <t xml:space="preserve">обеспечение условий для развития на территории городского округа физической культуры и массового спорта, организация проведения официальных физкультурно-оздоровительных и спортивных мероприятий городского округа </t>
  </si>
  <si>
    <t>1101</t>
  </si>
  <si>
    <t>ст.16, пункт 1, п/пункт 19</t>
  </si>
  <si>
    <t>Федеральный закон от 04.12.2007 № 329-ФЗ "О физической культуре и спорте в Российской Федерации"</t>
  </si>
  <si>
    <t>ст. 9</t>
  </si>
  <si>
    <t>30.03.2008 - не установ</t>
  </si>
  <si>
    <t xml:space="preserve">Отдел культуры администрации г. Канска </t>
  </si>
  <si>
    <t>0804</t>
  </si>
  <si>
    <t>Решение Канского городского Совета депутатов Красноярского края от 16.11.2012 №43-222 "О Положении об отделе культуры администрации города Канска"</t>
  </si>
  <si>
    <t>организация библиотечного обслуживания населения, комплектование и обеспечение сохранности библиотечных фондов библиотек городского округа</t>
  </si>
  <si>
    <t>0801</t>
  </si>
  <si>
    <t>cт.16, пункт 1, п/пункт 16</t>
  </si>
  <si>
    <t>Постановление Правительства РФ от 26.06.1995 № 609 "Об утверждении Положения об основах хозяйственной деятельности и финансирования организаций культуры и искусства"</t>
  </si>
  <si>
    <t>21.07.1995 - не установ</t>
  </si>
  <si>
    <t>Федеральный закон от 29.12.1994 № 78-ФЗ "О библиотечном деле"</t>
  </si>
  <si>
    <t>02.01.1995 - не установ</t>
  </si>
  <si>
    <t xml:space="preserve">ст.10 </t>
  </si>
  <si>
    <t>Закон Красноярского края от 17.05.1999 № 6-400 "О библиотечном деле в Красноярском крае"</t>
  </si>
  <si>
    <t>27.06.1999 - не установ</t>
  </si>
  <si>
    <t>22.06.2016 - не установ</t>
  </si>
  <si>
    <t xml:space="preserve">создание условий для организации досуга и обеспечения жителей городского округа услугами организаций культуры </t>
  </si>
  <si>
    <t>ст.16, пункт 1, п/пункт 17</t>
  </si>
  <si>
    <t xml:space="preserve">Закон РФ от 09.10.1992 № 3612-1 "Основы законодательства Российской Федерации о культуре" </t>
  </si>
  <si>
    <t>ст. 40</t>
  </si>
  <si>
    <t>17.11.1992 - не установ</t>
  </si>
  <si>
    <t>ст. 22</t>
  </si>
  <si>
    <t>Постановление администрации города Канска от 07.06.2016 № 509 "Об утверждении Административного регламента по предоставлению муниципальной услуги "Запись на обзорные, тематические и интерактивные экскурсии".</t>
  </si>
  <si>
    <t xml:space="preserve">Постановление администрации города Канска 512 от 07.06.2016 г. Об утверждении Административного регламента по предоставлению муниципальной услуги "Предоставление информации о времени и месте культурно-досуговых мероприятий, анонсы данных мероприятий в электронном виде" </t>
  </si>
  <si>
    <t>Постановление администрации г. Канска Красноярского края от 07.06.2016 №515 "Об утверждении Административного регламента по предоставлению муниципальной услуги "Предоставление информации о проведении ярмарок, выставок народного творчества, ремесел на территории муниципального образования"</t>
  </si>
  <si>
    <t>Управление архитектуры и инвестиций администрации города Канска</t>
  </si>
  <si>
    <t>Федеральный закон от 13.03.2006 №38-ФЗ "О рекламе"</t>
  </si>
  <si>
    <t>ст. 19</t>
  </si>
  <si>
    <t>15.03.2006- не установ</t>
  </si>
  <si>
    <t>Решение Канского городского Совета депутатов Красноярского края от 27.01.2011 № 14-85 "О правилах установки и эксплуатации рекламных конструкций на территории города Канска"</t>
  </si>
  <si>
    <t>02.02.2011 - не установ</t>
  </si>
  <si>
    <t>ст. 11</t>
  </si>
  <si>
    <t xml:space="preserve">Канский городской Совет депутатов </t>
  </si>
  <si>
    <t>0103, 0113</t>
  </si>
  <si>
    <t>0106</t>
  </si>
  <si>
    <t>Контрольно-счетная комиссия города Канска</t>
  </si>
  <si>
    <t>ст.34, пункт 9  ст.53, пункт 2</t>
  </si>
  <si>
    <t>ст.17; пункт 1, п/пункт 3</t>
  </si>
  <si>
    <t>ст.16; пункт 1, п/пункт 6</t>
  </si>
  <si>
    <t>ст.6 п.1</t>
  </si>
  <si>
    <t>1006</t>
  </si>
  <si>
    <t>Дополнительные гарантии муниципальным служащим в виде ежемесячных доплат к трудовой пенсии, пенсии за выслугу лет</t>
  </si>
  <si>
    <t>1001</t>
  </si>
  <si>
    <t>ст.20, пункт 5</t>
  </si>
  <si>
    <t>Решение Канского городского Совета депутатов Красноярского края от 02.07.2008 № 47-461 "О Порядке предоставления муниципальному служащему права на пенсию за выслугу лет за счет средств бюджета муниципального образования город Канск"</t>
  </si>
  <si>
    <t>ИТОГО</t>
  </si>
  <si>
    <t>Постановление администрации г. Канска Красноярского края от 18.01.2016 N 11 (ред. от 23.05.2016) "Об утверждении Административного регламента предоставления Муниципальным казенным учреждением "Управление образования администрации города Канска" муниципальной услуги по предоставлению информации об организации общедоступного и бесплатного дошкольного, начального общего, основного общего, среднего общего образования, а также дополнительного образования в общеобразовательных учреждениях, расположенных на территории муниципального образования город Канск"</t>
  </si>
  <si>
    <t>27.01.2016- не установ</t>
  </si>
  <si>
    <t xml:space="preserve">Постановление администрации г. Канска Красноярского края от 16.02.2012 N 198 (ред. от 21.06.2016) "Об утверждении Административного регламента предоставления муниципальной услуги "Предоставление информации о проводимых на территории города спортивных и оздоровительных мероприятиях и прием заявок на участие в этих мероприятиях" </t>
  </si>
  <si>
    <t>22.02.2012 - не установ</t>
  </si>
  <si>
    <t>Постановление администрации г. Канска Красноярского края от 07.06.2016 N 511 "Об утверждении Административного регламента по предоставлению муниципальной услуги "Предоставление информации об организации дополнительного образования детей в сфере культуры"</t>
  </si>
  <si>
    <t>22.06.2016 не установ</t>
  </si>
  <si>
    <t>Устав от 17.07.2017 № 613 "Устав муниципального казенного учреждения "Межведомственный центр обслуживания"</t>
  </si>
  <si>
    <t>17.07.2017- не установ</t>
  </si>
  <si>
    <t>19.04.2017- не установ</t>
  </si>
  <si>
    <t xml:space="preserve">Устав МБУ "ММЦ" от 19.04.2017 №361 </t>
  </si>
  <si>
    <t>Отчетный период 2016 год</t>
  </si>
  <si>
    <t>24-118 от 18.12.2017</t>
  </si>
  <si>
    <t>Итого</t>
  </si>
  <si>
    <t>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t>
  </si>
  <si>
    <t>на формирование и содержание архивных фондов субъекта Российской Федерации</t>
  </si>
  <si>
    <t>по составлению списков кандидатов в присяжные заседатели</t>
  </si>
  <si>
    <t>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</si>
  <si>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на организацию и осуществление деятельности по опеке и попечительству</t>
  </si>
  <si>
    <t>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</si>
  <si>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</si>
  <si>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владение, пользование и распоряжение имуществом, находящимся в муниципальной собственности городского округа</t>
  </si>
  <si>
    <t>создание условий для организации досуга и обеспечения жителей городского округа услугами организаций культуры</t>
  </si>
  <si>
    <t>организация ритуальных услуг и содержание мест захоронения</t>
  </si>
  <si>
    <t xml:space="preserve">организация сбора, вывоза, утилизации и переработки бытовых и промышленных отходов  </t>
  </si>
  <si>
    <t xml:space="preserve">утверждение схемы размещения рекламных конструкций, выдача размещений на установку и эксплуатацию рекламных конструкций на территории городского округа </t>
  </si>
  <si>
    <t>создание условий для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</si>
  <si>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расходы на обслуживание муниципального долга</t>
  </si>
  <si>
    <t>1301</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</si>
  <si>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</si>
  <si>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определенными органами государственной власти субъектов РФ.</t>
  </si>
  <si>
    <t>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 - 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презда на общественном транспорте, иных социальных пособий, а также для возмещения расходов муниципальных образований в связи с представлением законами субъекта РФ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</si>
  <si>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РФ,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РФ</t>
  </si>
  <si>
    <t>сессия</t>
  </si>
  <si>
    <t>24.10.2017 - не установ.</t>
  </si>
  <si>
    <t xml:space="preserve"> организации и обеспечения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  № 124-ФЗ «Об основных гарантиях прав ребенка в Российской Федерации»</t>
  </si>
  <si>
    <t>ст.66</t>
  </si>
  <si>
    <t>Решение Канского городского Совета депутатов от 25.11.2010 № 10-59 "О положение о Финансовом управлении администрации города Канска"</t>
  </si>
  <si>
    <t>Постановление администрации г. Канска Красноярского края от 31.10.2012 №1685 "О создании муниципального казенного учреждения "Централизованная бухгалтерия по ведению учета в сфере образования".</t>
  </si>
  <si>
    <t>31.10.2012 - не утанов</t>
  </si>
  <si>
    <t>Постановление администрации города Канска от 21.05.2018 г. №462 "Об утверждении Порядка расходования средств субвенции, направленной на осуществление органами местного самоуправления отдельных государственных полномочий в области архивного дела"</t>
  </si>
  <si>
    <t>Постановление администрации города Канска от 21.05.2018 №461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созданию и обеспечению деятельности административных комиссий"</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</si>
  <si>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t>
  </si>
  <si>
    <t>Расходные обязательства, возникшие в результате принятия нормативных правовых актов городского округа, заключения договоров (соглашений),в рамках реализации вопросов местного значения городского округа</t>
  </si>
  <si>
    <t>23.05.2018 не установ</t>
  </si>
  <si>
    <t>Постановление администрации г. Канска Красноярского края от 28.06.2018 №589 "Об утверждении Порядка расходования средств субвенции, направленной на осуществление государственных полномочий по составлению списков кандидатов в присяжные заседатели"</t>
  </si>
  <si>
    <t>04.07.2018 не установ</t>
  </si>
  <si>
    <t>Решение Канского городского Совета депутатов Красноярского края от 16.02.2011 № 15-91 "О Положении о порядке управления и распоряжения имуществом, находящимся в муниципальной собственности города Канска"</t>
  </si>
  <si>
    <t>Постановление администрации города Канска Красноярского края от 13.06.2018 г. № 543 "Об утверждении положения об обеспечении первичных мер пожарной безопасности в границах города Канска"</t>
  </si>
  <si>
    <t>20.06.2018 - не установ</t>
  </si>
  <si>
    <t>Постановление администрации города Канска Красноярского края от 28.02.2018 г. №172 "Об утверждении порядка расходования средств субвенции на оказание услуг по отлову и содержанию безнадзорных животных".</t>
  </si>
  <si>
    <t>07.03.2018 - не установ</t>
  </si>
  <si>
    <t>Постановление администрации города Канска от 14.03.2017 №228 "Об утверждении Порядка расходования средств субсидии из краевого бюджета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и порядок предоставления отчетности об их использовании"</t>
  </si>
  <si>
    <t>15.03.2017 - не установ</t>
  </si>
  <si>
    <t>Постановление администрация города Канска от 26.05.2016 г. №461 "Об организации питания детей, обучающихся в общеобразовательных организациях города Канска, без взимания платы".</t>
  </si>
  <si>
    <t>01.06.2016 - не установ</t>
  </si>
  <si>
    <t>0502,0505</t>
  </si>
  <si>
    <t>Постановление администрации города Канска от 19.04.2019 г. №333 "Об утверждении порядка расходования субсидии на финансирование (возмещение) расходов, направленных на сохранение и развитие материально-технической базы муниципальных загородных оздоровительных лагерей".</t>
  </si>
  <si>
    <t>24.04.2019 - не установ.</t>
  </si>
  <si>
    <t>Постановление администрации города Канска от 19.04.2019 г. № 332 "Об утверждении Порядка расходования субвенции, направленной на осуществление государственных полномочий по организации и обеспечению отдыха и оздоровления детей."</t>
  </si>
  <si>
    <t>24.04.2019 - не установ</t>
  </si>
  <si>
    <t>Постановление администрации города Канска от 07.05.2019 г. №396 "Об утверждении Порядка расходования субсидии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</si>
  <si>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15.05.2019 - не установ</t>
  </si>
  <si>
    <t>0605</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</si>
  <si>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</si>
  <si>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ст.16, пункт 1, п/пункт 37</t>
  </si>
  <si>
    <t>Закон края от 11.07.2019 года №7-2988 "О наделении органов местного самоуправления муниципальных районов и городских округов государственными полномочиями по организации и осуществлению деятельности по опеке и попечительству в отношении совершеннолетних граждан, а также в сфере патронажа"</t>
  </si>
  <si>
    <t>02.09.2008-не установ</t>
  </si>
  <si>
    <t>Решение Канского городского Совета депутатов №43-428 от 26.03.2008 г. "О Положении по управлению муниципальным долгом города Канска"</t>
  </si>
  <si>
    <t>02.04.2008 - не установ</t>
  </si>
  <si>
    <t>09.07.2008- не установ</t>
  </si>
  <si>
    <t>Постановление администрации города Канска от 29.10.2019 №1026 "О возложении полномочий по назначению, перерасчету и выплате пенсии за выслугу лет лицам, замещавшим должности муниципальной службы в городе Канске"</t>
  </si>
  <si>
    <t>Постановление администрации г. Канска Красноярского края от 25.11.2019 г. №1124 "Об утверждении Порядка расходования средств субвенции, направленной на осуществление органами местного самоуправления государственных полномочий по организации и осуществлению деятельности по опеке и попечительству в отношении совершеннолетних граждан, а также в сфере патронажа".</t>
  </si>
  <si>
    <t>27.12.2017- не установ</t>
  </si>
  <si>
    <t>0412,0603</t>
  </si>
  <si>
    <t>Постановление администрации города Канска от 26.05.2020 №445 "Об утверждении Порядка расходования иных межбюджетных трансфертов за содействие развитию налогового потенциала"</t>
  </si>
  <si>
    <t>27.11.2019 -не установ</t>
  </si>
  <si>
    <t>27.05.2020 -не установ.</t>
  </si>
  <si>
    <t>Постановление администрации города Канска от 03.09.2020 г. №726 "Об утверждении Порядка расходования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 Красноярского края"</t>
  </si>
  <si>
    <t>Постановление администрации города Канска от 14.10.2020 №929 "Об утверждении Порядка расходования иного межбюджетного трансферта на выплату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</si>
  <si>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Постановление администрации города Канска от 09.10.2020 № 915 "Об утверждении Порядка организации бесплатных перевозок обучающихся в муниципальных образовательных организациях, реализующих основные общеобразовательные программы".</t>
  </si>
  <si>
    <t>14.10.2020 - не установ.</t>
  </si>
  <si>
    <t>21.10.2020 - не установ.</t>
  </si>
  <si>
    <t>Субвенции бюджетам муниципальных образований для реализации отдельных государственных полномочий по осуществлению мониторинга состояния и развития лесной промышленности в рамках подпрограммы "Обеспечение реализации государственной программы и прочие мероприятия" государственной программы Красноярского края "Развитие лесного хозяйства"</t>
  </si>
  <si>
    <t>Постановление Правительства Красноярского края от 18.09.2020 №628-п "Об утверждении Порядка предоставления и распределения субсидий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</si>
  <si>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21.09.2020 - не установ</t>
  </si>
  <si>
    <t>Постановление Администрации города Канска от 27.10.2020 № 978 "Об утверждении Порядка расходования субсидии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t>
  </si>
  <si>
    <t>28.10.2020 - не установ.</t>
  </si>
  <si>
    <t xml:space="preserve">Решение Канского городского Совета депутатов Красноярского края от 28.08.2017 № 21-97 "О Правилах благоустройства территории муниципального образования город Канск" </t>
  </si>
  <si>
    <t>06.09.2017 - не установ.</t>
  </si>
  <si>
    <t>01.01.2021 - не установ.</t>
  </si>
  <si>
    <t>Постановление администрации города Канска Красноярского края от 16.10.2020 г. № 937 "О лимитах потребления электрической энергии, тепловой энергии и воды".</t>
  </si>
  <si>
    <t>Постановление администрации города Канска от 25.06.2020 № 544 "Об утверждении порядка расходования субсидии на реализацию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t>
  </si>
  <si>
    <t>01.07.2020 - не установ.</t>
  </si>
  <si>
    <t>Постановление администрации города Канска от 30.12.2020 г. №1207 "Об утверждении порядка предоставления грантов в форме субсидии частным образовательным организациям, организациям, осуществляющим обучение, индивидуальным предпринимателям, государственным образовательным организациям, муниципальным образовательным организациям, в отношении которых Управлением образования администрации города Канска не осуществляются функции и полномочия учредителя, включенными в реестр поставщиков образовательных услуг в рамках системы персонифицированного финансирования, в связи с оказанием услуг по реализации дополнительных общеобразовательных программ в рамках системы персонифицированного финансирования"</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</si>
  <si>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окзание муниципальных услуг (выполнение работ)"</t>
  </si>
  <si>
    <t>30.12.2020 - не установ</t>
  </si>
  <si>
    <t xml:space="preserve">Постановление администрации города Канска от 25.02.2020 № 163 "Об организации трудового воспитания несовершеннолетних граждан" </t>
  </si>
  <si>
    <t>04.03.2020 - не установ</t>
  </si>
  <si>
    <t>Постановление администрации города Канска от 25.12.2020 №1161 "О предоставлении из бюджета города Канска муниципальным и бюджетным и автономным учреждениям субсидий на цели, не связанные с финансовым обеспечением выполнения муниципального задания на окзан</t>
  </si>
  <si>
    <t>13.12.2017 -  не установ</t>
  </si>
  <si>
    <t>Постановление администрации города Канска от 21.06.2018 №554 "Об определении форм участия граждан в обеспечении первичных мер пожарной безопасности, в том числе в деятельности добровольной пожарной охраны на территории города Канска"</t>
  </si>
  <si>
    <t>11.07.2018- не установ</t>
  </si>
  <si>
    <t>Постановление администрации город Канска Красноярского кра от 20.09.2011 №1708 "Об участии населения в обеспечении дорожного движения и охране общественного порядка на территории муниципального образования город Канск"</t>
  </si>
  <si>
    <t>05.10.2011 - не установ</t>
  </si>
  <si>
    <t>31.05.2019 - не установ</t>
  </si>
  <si>
    <t>2601, 2602</t>
  </si>
  <si>
    <t>2601.2602</t>
  </si>
  <si>
    <t>2541, 2542</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</si>
  <si>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гос.власти РФ и (или) орган гос. власти субъекта РФ</t>
  </si>
  <si>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</si>
  <si>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</si>
  <si>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</si>
  <si>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 xml:space="preserve">Расходные обязательства, возникшие в результате принятия нормативных правовых актов городского округа, заключения договоров (соглашений)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</si>
  <si>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</si>
  <si>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 xml:space="preserve"> 0412</t>
  </si>
  <si>
    <t>3201,   3202</t>
  </si>
  <si>
    <t>организация проведения официальных физкультурно-оздоровительных и спортивных мероприятий городского округа</t>
  </si>
  <si>
    <t xml:space="preserve"> оказание поддержки социально ориентированным некоммерческим организациям, благотворительной деятельности и добровольчеству волонтерству)</t>
  </si>
  <si>
    <t>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</si>
  <si>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ст.6 п 17.</t>
  </si>
  <si>
    <t>Постановление администрации города Канска от 22.10.2021 №895 "Об утверждении Порядка расходования субвенции на реализацию отдельных государственных полномочий по осуществлению мониторинга состояния и развития лесной промышленности"</t>
  </si>
  <si>
    <t>Постановление администрации города Канска от 13.10.2021 №864 "Об утверждении порядка расходования средств субсидии из краевого бюджета на поддержку физкультурно-спортивных клубов по месту жительства"</t>
  </si>
  <si>
    <t>20.10.2021 - не установ.</t>
  </si>
  <si>
    <t>Постановление администрации города Канска от 11.10.2021 №844 "Об утверждении порядка расходования средств субсидии из краевого бюджета на обеспечение муниципальных организаций, осуществляющих спортивную подготовку, в соответствии с требованием федеральных стандартов спортивной подготовки".</t>
  </si>
  <si>
    <t>13.10.2021 - не установ.</t>
  </si>
  <si>
    <t>Постановления администрации города Канска от 11.10.2021 №843 "Об утверждении порядка расходования средств субсидии из краевого бюджета на развитие детско-юнешского спорта"</t>
  </si>
  <si>
    <t>27.10.2021 - не установ.</t>
  </si>
  <si>
    <t>Постановление администрации города Канска от 25.02.2021 № 128 "Об утверждении порядка определения объема и условия предоставления из бюджета города Канска муниципальным бюджетным учреждениям физической культуры, спорта и молодежной политики субсидии на иные цели</t>
  </si>
  <si>
    <t>03.03.2021 - не установ.</t>
  </si>
  <si>
    <t>Постановление администрации города Канска от 10.12.2021 г. №1049 "Об осуществлении отдельных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законадательством статус детей-сирот, детей, оставшихся без попечения родителей, лиц из числа детей-сирот и детей, оставшихся без попечения родителей"</t>
  </si>
  <si>
    <t>23.07.2021- не установ.</t>
  </si>
  <si>
    <t>10.12.2021 не установ.</t>
  </si>
  <si>
    <t>Постановление администрации города Канска от 16.12.2021 г. №1136 "Об утверждении Порядка расходования средств субсидии на государственную поддержку отрасли культуры (модернизация библиотек в части комплектования книжных фондов).</t>
  </si>
  <si>
    <t>22.12.2021-не установ</t>
  </si>
  <si>
    <t>02.02.2022- не установ</t>
  </si>
  <si>
    <t>Постановление администрации города Канска от 21.01.2022 №39 "Об утверждении Порядка расходования средств субсидии, предоставяемых городу Канску Красноярского врая в целях софинансирования мероприятий по поддержке и развитию малого и среднего предпринимательства</t>
  </si>
  <si>
    <t>21.01.2022-не установ</t>
  </si>
  <si>
    <t>Постановление администрации города Канска от 17.02.2022 №117 "Об организации функционирования единой дежурно-диспетчерской службы города Канска Красноярского края, признания утратившим силу постонавления администрации города Канска от 16.02.2012 №197"</t>
  </si>
  <si>
    <t>17.02.2022 не установ.</t>
  </si>
  <si>
    <t>Постановление администрации города Канска от 22.02.2022 г. №142 "Об утверждении Порядка предоставления субсидий субъектам малого и среднего предпринимательства и самозанятым гражданам на возмещение затрат при осуществлении предпринимательской деятельности".</t>
  </si>
  <si>
    <t>Постановление администрации города Канска от 21.03.2022 №239 "Об утверждении порядка расходования субвенции бюджетам муниципальных образований на 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t>
  </si>
  <si>
    <t>23.03.2022 - не установ.</t>
  </si>
  <si>
    <t>Руководитель Финансового управления администрации города Канска</t>
  </si>
  <si>
    <t>Н.А. Тихомирова</t>
  </si>
  <si>
    <t>Постановление администрации города Канска Красноярского края от 16.02.2015 г. №205 "О создании Муниципального казенного учреждения "Централизованная бухгалтерия"</t>
  </si>
  <si>
    <t>06.11.2019 - не установ</t>
  </si>
  <si>
    <t>Постановление администрации г. Канска от 03.12.2021 г. № 1009 "Об утверждении положения о порядке предоставления субсидии в целях возмещения недополученных доходов, возникающих в связи с применением предельного индекса при оказании коммунальных услуг"</t>
  </si>
  <si>
    <t>08.12.2021 - не устан.</t>
  </si>
  <si>
    <t>Постановление администрации города Канска от 08.06.2021 г. № 500 "Об утверждении административного регламента предоставления муниципальной услуги "Предоставления доступа к оцифрованным изданиям, хранящимся в Муниципальном бюджетном учреждений культуры "Централизованная библиотечная система г. Канска" с учетом соблюдения требований законодательства РФ об авторских и смешаных правах"</t>
  </si>
  <si>
    <t>09.06.2021 - не установ</t>
  </si>
  <si>
    <t>Постановление администрации города Канска от 08.06.2021 г. №501 "Об утверждении административного регламента предоставления муниципальной услуги "Предосталвения доступа к справочно-поисковому аппарату библиотек, базам данных муниципального бюджетного учреждения культуры "Централизованная библиотечная система г. Канска"</t>
  </si>
  <si>
    <t>Решение Канского городского Совета депутатов от 10.03.2021 г. №5-37 "О положении об управлении градостроительства администрации города Канска"</t>
  </si>
  <si>
    <t>01.06.2021 - не установ</t>
  </si>
  <si>
    <t>Решение Канского городского Совета депутатов от 10.03.2021 г. № 5-37 "О положении об управлении градостроительства администрации города Канска"</t>
  </si>
  <si>
    <t>23.02.2022 -не установ</t>
  </si>
  <si>
    <t>31.01.2022- 31.12.2022</t>
  </si>
  <si>
    <t>18.02.2015 не установ</t>
  </si>
  <si>
    <t>15.01.2022 - 31.12.2023</t>
  </si>
  <si>
    <t>28.01.2022 - 31.12.2024</t>
  </si>
  <si>
    <t>содействие развитию малого и среднего предпринимательства</t>
  </si>
  <si>
    <t xml:space="preserve">материально-техническое и финансовое обеспечение деятельности органов местного самоуправления </t>
  </si>
  <si>
    <t>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</si>
  <si>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по составлению (изменению) списков кандидатов в присяжные заседатели</t>
  </si>
  <si>
    <t>за счет субвенций, предоставленных из бюджета субъекта Российской Федерации, всего</t>
  </si>
  <si>
    <t>формирование и содержание архивных фондов субъекта Российской Федерации</t>
  </si>
  <si>
    <t>3202.3</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</si>
  <si>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</si>
  <si>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</si>
  <si>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материально-техническое и финансовое обеспечение деятельности органов местного самоуправления</t>
  </si>
  <si>
    <t>обслуживание долговых обязательств в части процентов, пеней и штрафных санкций по бюджетным кредитам, полученным из региональных бюджетов</t>
  </si>
  <si>
    <t>предоставление доплат за выслугу лет к трудовой пенсии муниципальным служащим за счет средств местного бюджета</t>
  </si>
  <si>
    <t xml:space="preserve">2522, 2523, 2525, 2526, 2527 </t>
  </si>
  <si>
    <t>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РФ</t>
  </si>
  <si>
    <t>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</si>
  <si>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 xml:space="preserve">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отходоворганизация сбора, вывоза, утилизации и переработки бытовых и промышленных отходов </t>
  </si>
  <si>
    <t>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</si>
  <si>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Материально-техническое и финансовое обеспечение деятельности органов местного самоуправления</t>
  </si>
  <si>
    <t>на установление подлежащих государственному регулированию цен (тарифов) на товары (услуги) в соответствии с законодательством Российской Федерации (за исключением расходных обязательств, отраженных по иным кодам расходных обязательств)</t>
  </si>
  <si>
    <t>обеспечение условий для развития на территории городского округа физической культуры, школьного спорта и массового спорта</t>
  </si>
  <si>
    <t>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</si>
  <si>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материально-техническоеи финансовое обеспечение деятельности органов местного самоуправления</t>
  </si>
  <si>
    <t xml:space="preserve">материально-техническоеи финансовое обеспечение деятельности органов местного самоуправления  </t>
  </si>
  <si>
    <t xml:space="preserve">материально-техническоеи финансовое обеспечение деятельности органов местного самоуправления   </t>
  </si>
  <si>
    <t>за счет субвенций, предоставленных из бюджета субъекта Российской Федерации</t>
  </si>
  <si>
    <t>Постановление администрации города Канска от 23.12.2021 №1189 "Об утверждении Порядка расходования иного межбюджетного трансферта, предоставленного бюджету города Канска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муниципальных, городских округов и муниципальных районов Красноярского края"</t>
  </si>
  <si>
    <t>Постановление администрации города Канска от 24.12.2021 №1195 "Об утверждении Порядка осуществления государственных полномочий по обеспечению предоставления меры социальной поддержки гражданам, достигшим возраста 23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</si>
  <si>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29.12.2021 - не установ</t>
  </si>
  <si>
    <t>Постановление администрации города Канска 894 от 08.08.2022 г. "Об утверждении Порядка расходования средств субсидии на реализацию муниципальных программ, подпрограмм, направленных на реализацию мероприятий в сфере укрепления межнационального и межконфессионального согласия"</t>
  </si>
  <si>
    <t>10.08.2022 - не установ</t>
  </si>
  <si>
    <t>0113,0707</t>
  </si>
  <si>
    <t>1101, 1103</t>
  </si>
  <si>
    <t>Постановление администрации города Канска от 20.10.2022 №1192 "Об утверждении Порядка расходования субсидии на увеличение охвата детей, обучающихся по дополнительным общеразвивающим программам"</t>
  </si>
  <si>
    <t>26.10.2022 - не установ.</t>
  </si>
  <si>
    <t>29.12.2021 - не установ.</t>
  </si>
  <si>
    <t>Постановление администрации города Канска от 23.12.2022 № 1518 "Об утверждении Порядка расходования иных межбюджетных трансфертов на финансовое обеспечение (возмещение) расходов, связанных с предоставлением мер социальной поддержки в сфере дошкольного и общего образования детям из семей лиц, принимающих участие в специальной военной операции".</t>
  </si>
  <si>
    <t xml:space="preserve">Управление строительства и жилищно-коммунального хозяйства  администрации города Канска </t>
  </si>
  <si>
    <t>28.12.2022 - не установ.</t>
  </si>
  <si>
    <t xml:space="preserve">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</si>
  <si>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0107</t>
  </si>
  <si>
    <t>ст.17,  пункт 1, п/пункт 5</t>
  </si>
  <si>
    <t>Закон Красноярского края от 02.10.2003 № 8-1411  "О выборах в органы местного самоуправления в Красноярском крае"</t>
  </si>
  <si>
    <t>ст.5, пункт 1
ст.43, пункт 1</t>
  </si>
  <si>
    <t>08.11.2003 - не установ</t>
  </si>
  <si>
    <t>Федеральный закон от 12.06.2002 № 67-ФЗ "Об основных гарантиях избирательных прав и права на участие в референдуме граждан Российской Федерации"</t>
  </si>
  <si>
    <t>ст.57, пункт 1</t>
  </si>
  <si>
    <t>26.06.2002 - не установ</t>
  </si>
  <si>
    <t>Постановление администрации города Канска от 08.12.2017 №1116 "Об утверждении положения об условиях и порядке предоставления субсидии социально ориентированной некоммерческой организации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</si>
  <si>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03.11.2022 г. №1255 "Об утверждении порядка использования бюджетных ассигнований резервного фонда администрации города Канска"</t>
  </si>
  <si>
    <t>09.11.2022 - не установ</t>
  </si>
  <si>
    <t>Постановление администрации города Канска от 11.01.2023 № 03 "О муниципальном звене территориальной подсистемы единой государственной системы предупреждения и ликвидации чрезвычайных ситуаций города Канска Красноярского края, признании утратившим силу постановления администрации города Канска от 19.08.2015 г. №1308"</t>
  </si>
  <si>
    <t>Решение Канского городского Совета депутатов от 28.02.2007 г. Реламент Канского городского Совета депутатов.</t>
  </si>
  <si>
    <t>26.08.2015 - 11.01.2023</t>
  </si>
  <si>
    <t>11.01.2023 - не установ</t>
  </si>
  <si>
    <t>23.01.2023-31.12.2023</t>
  </si>
  <si>
    <t>Соглашение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23.01.2022 г. № 04720000-1-2023-001</t>
  </si>
  <si>
    <t>Соглашение  о предоставлении субсидии бюджету города Канска Красноярского края из краевого бюджета на реализацию муниципальной программы развития субъектов малого и среднего предпринимательства от 14.02.2023 №1-7/2023</t>
  </si>
  <si>
    <t>14.02.2023 - 31.12.2023</t>
  </si>
  <si>
    <t>Соглашение о предоставлении иного межбюджетного транферта из краевого бюджета бюджету города Канска Красноярского края от 15.02.2022 №1/2022-2023</t>
  </si>
  <si>
    <t>Соглашение о предоставлении иного межбюджетного трансферта, имеющего целевое назначение, из бюджета субъекта РФ местному бюджету от 28.01.2022 № 04720000-1-2020-009</t>
  </si>
  <si>
    <t xml:space="preserve">Соглашение о предоставлении субсидии бюджету городского округа города Канска на софинансирование муниципальных программ формирования современной городской среды от 24.01.2023 № 04720000-1-2023-003 </t>
  </si>
  <si>
    <t>24.01.2023 - 31.12.2023</t>
  </si>
  <si>
    <t>Постановление администрации города Канска от 04.05.2023 г. №515 "Об утверждении Порядка предоставления грантовой поддержки субъектам малого и среднего предпринимательства на начало ведения предпринимательской деятельности"</t>
  </si>
  <si>
    <t>10.05.2023 - не установ</t>
  </si>
  <si>
    <t>Соглашение о предоставлении из краевого бюджета бюджету города Канска Красноярского края субсидии на частичное финансирование (возмещение) расходов на содержание единой дежурно-дисппетчерской службы от 14.02.2023 №3</t>
  </si>
  <si>
    <t>Постановление администрации города Канска от 07.11.2023 №1325 "Об утверждении порядка по обеспечению отдельных категорий граждан автономными дымовыми пожарными извещателями на территории муниципального образования город Канск"</t>
  </si>
  <si>
    <t>08.11.2023 не установ.</t>
  </si>
  <si>
    <t>Соглашение о предоставлении из краевого бюджета бюджету города Канска Красноярского края субсидии на приобретение извещателей дымовых автономных отдельным категориям граждан в целях оснащения ими жилых помещений" от 19.07.2023 №1И</t>
  </si>
  <si>
    <t>19.07.2023-31.12.2023</t>
  </si>
  <si>
    <t>Отчетный период 2023 год</t>
  </si>
  <si>
    <t>поддержка деятельности некоммерческих организаций, за исключением социально ориентированных организаций</t>
  </si>
  <si>
    <t>0310</t>
  </si>
  <si>
    <t>Постановление администрации города Канска от 13.02.2024 №134 "Об утверждении Порядка расходования средств иных межбюджетных трансфертов из краевого бюджета на осуществление расходов, направленных на реализацию мероприятий по поддержке местных инициатив, и представления отчетности об их использовании"</t>
  </si>
  <si>
    <t>14.02.2024 - не установ.</t>
  </si>
  <si>
    <t xml:space="preserve">Постановление администрации г. Канска Красноярского края от 18.03.2024 N 339
"Об утверждении Порядка расходования субсидии бюджетам муниципальных образований Красноярского края на приведение зданий и сооружений организаций, реализующих образовательные программы дошкольного образования, в соответствие с требованиями законодательства"
</t>
  </si>
  <si>
    <t>20.03.2024 - не установ.</t>
  </si>
  <si>
    <t xml:space="preserve">Постановление администрации г. Канска Красноярского края от 18.03.2024 N 340
"Об утверждении Порядка расходования субсидии бюджетам муниципальных образований Красноярского края на приведение зданий и сооружений общеобразовательных организаций в соответствие с требованиями законодательства"
</t>
  </si>
  <si>
    <t>13.01.2021 - 23.01.2023</t>
  </si>
  <si>
    <t>Постановление администрации города Канска от 10.04.2024 г. №540 "Об утверждении Порядка расходования субсидий на создание условий для оснащения (обновления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аддаптированным основным общеобразовательным программам"</t>
  </si>
  <si>
    <t>Постановление администрации города Канска от 10.04.2024 №541 "Об утверждении Порядка расходования субсидий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</si>
  <si>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</si>
  <si>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ст.6 п 1</t>
  </si>
  <si>
    <t>Соглашение о предоставлении субсидии из краевого бюджета бюджету города Канска Красноярского края на предоставление социальных выплат молодым семьям на приобретение (строительство) жилья. от 19.01.2022г. №04720000-1-2024-002</t>
  </si>
  <si>
    <t>09.02.2024 - 31.12.2024</t>
  </si>
  <si>
    <t>Соглашение  о предоставлении субсидии бюджету города Канска Красноярского края из краевого бюджета на реализацию муниципальной программы развития субъектов малого и среднего предпринимательства от 09.02.2024 №08-1/2024</t>
  </si>
  <si>
    <t>Осуществление отдельных государственных полномочий по обеспечению предоставления меры социальной поддержки гражданам, достигшим возраста 21 лет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</si>
  <si>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Закон красноярского края от 08.07.2021 №11-5284 "О наделении органов местного самоуправления муниципальных районов, муниципальных округов и городских округов края отдельными государственными полномочиями по обеспечению предоставления мер социальной поддержки гражданам, достигших возраста 21 года и старше, имевшим в соответствии с федеральным законодательством статус детей-сирот, детей, оставшихся без попечения родителей, лиц из числа детей-сирот и детей, оставшихся без попечения родителей"</t>
  </si>
  <si>
    <t>Федеральный закон от 21.12.2021 г. № 414-ФЗ "Об общих принципах организации публичной власти субъектов Российской Федерации"</t>
  </si>
  <si>
    <t>ст.44</t>
  </si>
  <si>
    <t>ст.44, п.86</t>
  </si>
  <si>
    <t>21.12.2021 - не установ</t>
  </si>
  <si>
    <t>Закон Красноярского края от 08.07.2021 №11-5410 "О наделении органов местного самоуправления муниципальных районов и городских округов края отдельными государственными полномочиями по осуществлению мониторинга состояния и развитие лесной промышленности"</t>
  </si>
  <si>
    <t>27.07.2021 - не установ</t>
  </si>
  <si>
    <t>ст.44, п.55</t>
  </si>
  <si>
    <t>ст.44, п.56</t>
  </si>
  <si>
    <t>ст.44, п.34</t>
  </si>
  <si>
    <t>ст.44, п.50</t>
  </si>
  <si>
    <t>ст.44, п.29</t>
  </si>
  <si>
    <t>ст.44, п.27</t>
  </si>
  <si>
    <t xml:space="preserve">ст.16, пункт 1, п/пункт 1
</t>
  </si>
  <si>
    <t>ст.44, п.104</t>
  </si>
  <si>
    <t>ст.44, п.143</t>
  </si>
  <si>
    <t>ст.16, пункт 1, п/пункт 1</t>
  </si>
  <si>
    <t>17.04.2024 - не установ.</t>
  </si>
  <si>
    <t>ст.44, п. 57</t>
  </si>
  <si>
    <t>ст.44, п.27,50</t>
  </si>
  <si>
    <t>проект</t>
  </si>
  <si>
    <t>Проект реестра расходных обязательств города Канска на 2025 год и плановый период 2026-2028 годы</t>
  </si>
  <si>
    <t>Постановление администрации города Канска Красноярского края от 09.12.2019 г. №1185 "Об утверждении Административного регламента предоставления Финансовым управлением администрации города Канска муниципальной услуги по назначению, перерасчету и выплате муниципальной пенсии за выслугу лет гражданам, замещавшим должности муниципальной службы в г. Канске"</t>
  </si>
  <si>
    <t>Постановление администрации города Канска от 27.07.2017 г. № 656 "О внесении изменений в постановление администрации г. Канска от 20.03.2015 №397"</t>
  </si>
  <si>
    <t>Постановление администрации города Канска Красноярского края от 31.05.2019 № 492 "Об утверждении порядка расходования субсидии, предоставляемой бюджету города Канска на строительство жилья помещений, выплату возмещения собственникам жилых помещений за изымаемое жилое помещение для переселения граждан, проживающих в жилых домах муниципальных образований, признанных в установленном порядке аварийными и подлежащими сносу или реконструкции, а также на снос таких домов после расселения граждан"</t>
  </si>
  <si>
    <t>Постановление администрации города Канска Красноярского края от 31.01.2017 № 65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физическим лицам на возмещение затрат, возникающих в результате оказания услуг населению по использованию общедоступных отделений бань по тарифам, не обеспечивающим возмещение издержек"</t>
  </si>
  <si>
    <t>Постановление администрации города Канска Красноярского края от 31.01.2017 г. № 66 "Об утверждении Порядка предоставления субсидии из бюджета города юридическим лицам (за исключением государственных (муниципальных) учреждений), индивидуальным предпринимателям, выполняющим перевозки пассажиров по маршрутам регулярных перевозок в соответствии с программой пассажирских перевозок , субсидируемых за счет средств муниципального образования город Канск"</t>
  </si>
  <si>
    <t>Решение Канского городского совета депутатов от 27.11.2017 г. №23-111 "О положении об управлении строительства и жилищно-коммунального хозяйства администрации города Канска"</t>
  </si>
  <si>
    <t>Постановление администрации города Канска от 24.10.2017 № 951 "Об утверждении Порядка предоставления и расходования средств субсидии из краевого бюджета на финансирование создания и обеспечения деятельности муниципального ресурсного центра поддержки общественных инициатив"</t>
  </si>
  <si>
    <t>Постановление администрации города Канска от 10.04.2017 № 315 "Об утверждении Положения о порядке определения объема и предоставления субсидий социально ориентированным некоммерческим организациям, не являющимся государственными (муниципальными) учреждения на реализацию социальных проектов на основании конкурсного отбора проектов."</t>
  </si>
  <si>
    <t>Решение Канского городского Совета депутатов Красноярского края от 16.11.2012 № 43-223 "О Положении об отделе физической культуры, спорта и молодежной политики администрации города Канска"</t>
  </si>
  <si>
    <t>Постановление администрации города Канска от 28.01.2022 № 56 "Об утверждении Порядка расходования средств субсидии на комплектования книжных фондов библиотек"</t>
  </si>
  <si>
    <t>01.01.2020- не установ</t>
  </si>
  <si>
    <t>09.09.2020 - не установ.</t>
  </si>
  <si>
    <t>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</si>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</sst>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u/>
      <sz val="11"/>
      <color theme="10"/>
      <name val="Calibri"/>
      <family val="2"/>
      <charset val="204"/>
      <scheme val="minor"/>
    </font>
    <font>
      <sz val="11"/>
      <name val="Times New Roman"/>
      <family val="1"/>
      <charset val="204"/>
    </font>
    <font>
      <sz val="11"/>
      <color rgb="FFFF0000"/>
      <name val="Times New Roman"/>
      <family val="1"/>
      <charset val="204"/>
    </font>
    <font>
      <b/>
      <sz val="11"/>
      <color theme="1"/>
      <name val="Calibri"/>
      <family val="2"/>
      <charset val="204"/>
      <scheme val="minor"/>
    </font>
    <font>
      <sz val="9"/>
      <color indexed="81"/>
      <name val="Tahoma"/>
      <family val="2"/>
      <charset val="204"/>
    </font>
    <font>
      <b/>
      <sz val="9"/>
      <color indexed="81"/>
      <name val="Tahoma"/>
      <family val="2"/>
      <charset val="204"/>
    </font>
    <font>
      <b/>
      <sz val="11"/>
      <name val="Times New Roman"/>
      <family val="1"/>
      <charset val="204"/>
    </font>
    <font>
      <u/>
      <sz val="11"/>
      <name val="Times New Roman"/>
      <family val="1"/>
      <charset val="204"/>
    </font>
    <font>
      <b/>
      <sz val="14"/>
      <name val="Times New Roman"/>
      <family val="1"/>
      <charset val="204"/>
    </font>
    <font>
      <sz val="11"/>
      <name val="Calibri"/>
      <family val="2"/>
      <charset val="204"/>
      <scheme val="minor"/>
    </font>
    <font>
      <i/>
      <sz val="11"/>
      <name val="Times New Roman"/>
      <family val="1"/>
      <charset val="204"/>
    </font>
  </fonts>
  <fills count="5">
    <fill>
      <patternFill patternType="none"/>
    </fill>
    <fill>
      <patternFill patternType="gray125"/>
    </fill>
    <fill>
      <patternFill patternType="solid">
        <fgColor theme="3" tint="0.79998168889431442"/>
        <bgColor indexed="64"/>
      </patternFill>
    </fill>
    <fill>
      <patternFill patternType="solid">
        <fgColor theme="8" tint="0.59999389629810485"/>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213">
    <xf numFmtId="0" fontId="0" fillId="0" borderId="0" xfId="0"/>
    <xf numFmtId="0" fontId="1" fillId="0" borderId="0" xfId="0" applyFont="1"/>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1" fillId="0" borderId="0" xfId="0" applyFont="1" applyAlignment="1">
      <alignment horizontal="right"/>
    </xf>
    <xf numFmtId="4" fontId="1" fillId="0" borderId="0" xfId="0" applyNumberFormat="1" applyFont="1" applyAlignment="1">
      <alignment horizontal="right"/>
    </xf>
    <xf numFmtId="0" fontId="1" fillId="0" borderId="2" xfId="0" applyFont="1" applyBorder="1" applyAlignment="1">
      <alignment horizontal="left" vertical="top" wrapText="1"/>
    </xf>
    <xf numFmtId="0" fontId="1" fillId="0" borderId="2"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top"/>
    </xf>
    <xf numFmtId="0" fontId="5" fillId="0" borderId="0" xfId="0" applyFont="1" applyAlignment="1">
      <alignment horizontal="left" vertical="top"/>
    </xf>
    <xf numFmtId="0" fontId="1" fillId="0" borderId="0" xfId="0" applyFont="1" applyAlignment="1">
      <alignment horizontal="left" vertical="top"/>
    </xf>
    <xf numFmtId="0" fontId="4" fillId="0" borderId="2" xfId="0" applyFont="1" applyBorder="1" applyAlignment="1">
      <alignment horizontal="left" vertical="top"/>
    </xf>
    <xf numFmtId="4" fontId="0" fillId="0" borderId="1" xfId="0" applyNumberFormat="1" applyBorder="1"/>
    <xf numFmtId="4" fontId="6" fillId="0" borderId="1" xfId="0" applyNumberFormat="1" applyFont="1" applyBorder="1"/>
    <xf numFmtId="4" fontId="0" fillId="0" borderId="0" xfId="0" applyNumberFormat="1"/>
    <xf numFmtId="0" fontId="2" fillId="0" borderId="1" xfId="0" applyFont="1" applyBorder="1"/>
    <xf numFmtId="0" fontId="4"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3" xfId="0" applyFont="1" applyBorder="1" applyAlignment="1">
      <alignment vertical="top" wrapText="1"/>
    </xf>
    <xf numFmtId="0" fontId="4" fillId="0" borderId="0" xfId="0" applyFont="1"/>
    <xf numFmtId="0" fontId="4" fillId="0" borderId="1" xfId="0" applyFont="1" applyFill="1" applyBorder="1" applyAlignment="1">
      <alignment horizontal="left" vertical="top" wrapText="1"/>
    </xf>
    <xf numFmtId="14" fontId="4" fillId="0" borderId="1" xfId="0" applyNumberFormat="1" applyFont="1" applyBorder="1" applyAlignment="1">
      <alignment horizontal="left" vertical="top" wrapText="1"/>
    </xf>
    <xf numFmtId="0" fontId="4" fillId="0" borderId="5" xfId="0" applyFont="1" applyBorder="1" applyAlignment="1">
      <alignment horizontal="left" vertical="top" wrapText="1"/>
    </xf>
    <xf numFmtId="0" fontId="4" fillId="4" borderId="1" xfId="0" applyFont="1" applyFill="1" applyBorder="1" applyAlignment="1">
      <alignment horizontal="left" vertical="top" wrapText="1"/>
    </xf>
    <xf numFmtId="4" fontId="6" fillId="0" borderId="0" xfId="0" applyNumberFormat="1" applyFont="1"/>
    <xf numFmtId="4" fontId="0" fillId="0" borderId="0" xfId="0" applyNumberFormat="1" applyAlignment="1"/>
    <xf numFmtId="0" fontId="4" fillId="0" borderId="1" xfId="0" applyFont="1" applyBorder="1" applyAlignment="1">
      <alignment horizontal="center" vertical="center"/>
    </xf>
    <xf numFmtId="0" fontId="9" fillId="3"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left" vertical="top" wrapText="1"/>
    </xf>
    <xf numFmtId="0" fontId="9" fillId="3" borderId="1" xfId="0" applyFont="1" applyFill="1" applyBorder="1" applyAlignment="1">
      <alignment horizontal="left" vertical="top" wrapText="1"/>
    </xf>
    <xf numFmtId="0" fontId="4" fillId="0" borderId="1" xfId="0" applyFont="1" applyBorder="1" applyAlignment="1">
      <alignment wrapText="1"/>
    </xf>
    <xf numFmtId="0" fontId="10" fillId="0" borderId="0" xfId="1" applyFont="1" applyAlignment="1">
      <alignment vertical="top" wrapText="1"/>
    </xf>
    <xf numFmtId="0" fontId="9" fillId="2"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4" fillId="0" borderId="2" xfId="0" applyFont="1" applyBorder="1" applyAlignment="1">
      <alignment vertical="top" wrapText="1"/>
    </xf>
    <xf numFmtId="0" fontId="4" fillId="0" borderId="1" xfId="0" applyFont="1" applyBorder="1" applyAlignment="1">
      <alignment vertical="top" wrapText="1"/>
    </xf>
    <xf numFmtId="0" fontId="4" fillId="0" borderId="7" xfId="0" applyFont="1" applyBorder="1" applyAlignment="1">
      <alignment horizontal="left" vertical="top" wrapText="1"/>
    </xf>
    <xf numFmtId="0" fontId="4" fillId="0" borderId="19" xfId="0" applyFont="1" applyBorder="1" applyAlignment="1">
      <alignment horizontal="center" vertical="top"/>
    </xf>
    <xf numFmtId="0" fontId="4" fillId="0" borderId="5" xfId="0" applyFont="1" applyFill="1" applyBorder="1" applyAlignment="1">
      <alignment horizontal="left" vertical="top" wrapText="1"/>
    </xf>
    <xf numFmtId="0" fontId="4" fillId="0" borderId="0" xfId="0" applyFont="1" applyAlignment="1">
      <alignment wrapText="1"/>
    </xf>
    <xf numFmtId="0" fontId="4" fillId="0" borderId="3" xfId="0" applyFont="1" applyBorder="1" applyAlignment="1">
      <alignment horizontal="left" vertical="top" wrapText="1"/>
    </xf>
    <xf numFmtId="4" fontId="4" fillId="0" borderId="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4" fillId="0" borderId="4" xfId="0" applyFont="1" applyBorder="1" applyAlignment="1">
      <alignment horizontal="center" vertical="top"/>
    </xf>
    <xf numFmtId="0" fontId="4" fillId="0" borderId="1" xfId="0" applyFont="1" applyBorder="1" applyAlignment="1">
      <alignment horizontal="center" vertical="center" wrapText="1"/>
    </xf>
    <xf numFmtId="4" fontId="4" fillId="0" borderId="4" xfId="0" applyNumberFormat="1" applyFont="1" applyBorder="1" applyAlignment="1">
      <alignment horizontal="center" vertical="center" wrapText="1"/>
    </xf>
    <xf numFmtId="0" fontId="1" fillId="0" borderId="2" xfId="0" applyFont="1" applyBorder="1" applyAlignment="1">
      <alignment horizontal="center" vertical="top" wrapText="1"/>
    </xf>
    <xf numFmtId="0" fontId="1" fillId="0" borderId="4" xfId="0" applyFont="1" applyBorder="1" applyAlignment="1">
      <alignment horizontal="center" vertical="top" wrapText="1"/>
    </xf>
    <xf numFmtId="4" fontId="4" fillId="0" borderId="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0" fontId="4" fillId="0" borderId="2" xfId="0" applyFont="1" applyBorder="1" applyAlignment="1">
      <alignment horizontal="center" vertical="top"/>
    </xf>
    <xf numFmtId="0" fontId="4" fillId="0" borderId="4" xfId="0" applyFont="1" applyBorder="1" applyAlignment="1">
      <alignment horizontal="center" vertical="top"/>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4" fontId="4" fillId="0" borderId="4" xfId="0" applyNumberFormat="1" applyFont="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0" borderId="3" xfId="0" applyNumberFormat="1" applyFont="1" applyFill="1" applyBorder="1" applyAlignment="1">
      <alignment horizontal="center" vertical="center" wrapText="1"/>
    </xf>
    <xf numFmtId="14" fontId="4" fillId="4" borderId="1" xfId="0" applyNumberFormat="1" applyFont="1" applyFill="1" applyBorder="1" applyAlignment="1">
      <alignment horizontal="left" vertical="top" wrapText="1"/>
    </xf>
    <xf numFmtId="0" fontId="4" fillId="0" borderId="0" xfId="0" applyFont="1" applyAlignment="1">
      <alignment horizontal="left"/>
    </xf>
    <xf numFmtId="0" fontId="4" fillId="0" borderId="0" xfId="0" applyFont="1" applyAlignment="1">
      <alignment horizontal="center"/>
    </xf>
    <xf numFmtId="0" fontId="11" fillId="0" borderId="0" xfId="0" applyFont="1" applyAlignment="1">
      <alignment horizontal="center"/>
    </xf>
    <xf numFmtId="0" fontId="4" fillId="0" borderId="0" xfId="0" applyFont="1" applyAlignment="1">
      <alignment horizontal="left"/>
    </xf>
    <xf numFmtId="0" fontId="9" fillId="0" borderId="0" xfId="0" applyFont="1"/>
    <xf numFmtId="0" fontId="4" fillId="0" borderId="13" xfId="0" applyFont="1" applyBorder="1" applyAlignment="1">
      <alignment horizontal="left"/>
    </xf>
    <xf numFmtId="0" fontId="4" fillId="0" borderId="0" xfId="0" applyFont="1" applyAlignment="1">
      <alignment horizontal="right"/>
    </xf>
    <xf numFmtId="0" fontId="4" fillId="0" borderId="2" xfId="0" applyFont="1" applyBorder="1" applyAlignment="1">
      <alignment horizontal="center" vertical="center" wrapText="1"/>
    </xf>
    <xf numFmtId="0" fontId="4" fillId="0" borderId="1" xfId="0" applyFont="1" applyBorder="1" applyAlignment="1">
      <alignment horizontal="center" wrapText="1"/>
    </xf>
    <xf numFmtId="0" fontId="12" fillId="0" borderId="1" xfId="0" applyFont="1" applyBorder="1" applyAlignment="1">
      <alignment horizontal="center" wrapText="1"/>
    </xf>
    <xf numFmtId="0" fontId="4" fillId="0" borderId="1" xfId="0" applyFont="1" applyBorder="1" applyAlignment="1">
      <alignment horizontal="center"/>
    </xf>
    <xf numFmtId="0" fontId="4" fillId="0" borderId="4" xfId="0" applyFont="1" applyBorder="1" applyAlignment="1">
      <alignment horizontal="center" vertical="center" wrapText="1"/>
    </xf>
    <xf numFmtId="0" fontId="4" fillId="0" borderId="1" xfId="0" applyFont="1" applyBorder="1" applyAlignment="1">
      <alignment horizontal="center" vertical="center"/>
    </xf>
    <xf numFmtId="0" fontId="12"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xf>
    <xf numFmtId="4" fontId="9" fillId="3" borderId="1"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4" fontId="9" fillId="0" borderId="2" xfId="0" applyNumberFormat="1" applyFont="1" applyFill="1" applyBorder="1" applyAlignment="1">
      <alignment horizontal="center" vertical="center"/>
    </xf>
    <xf numFmtId="0" fontId="9" fillId="0" borderId="0" xfId="0" applyFont="1" applyFill="1"/>
    <xf numFmtId="0" fontId="4" fillId="0" borderId="2" xfId="0" applyFont="1" applyBorder="1" applyAlignment="1">
      <alignment horizontal="center" vertical="top" wrapText="1"/>
    </xf>
    <xf numFmtId="0" fontId="4" fillId="0" borderId="2" xfId="0" applyFont="1" applyBorder="1" applyAlignment="1">
      <alignment horizontal="left" vertical="top" wrapText="1"/>
    </xf>
    <xf numFmtId="49" fontId="4" fillId="0" borderId="2" xfId="0" applyNumberFormat="1" applyFont="1" applyBorder="1" applyAlignment="1">
      <alignment horizontal="center" vertical="top" wrapText="1"/>
    </xf>
    <xf numFmtId="0" fontId="4" fillId="0" borderId="4" xfId="0" applyFont="1" applyBorder="1" applyAlignment="1">
      <alignment horizontal="center" vertical="top" wrapText="1"/>
    </xf>
    <xf numFmtId="0" fontId="4" fillId="0" borderId="4" xfId="0" applyFont="1" applyBorder="1" applyAlignment="1">
      <alignment horizontal="left" vertical="top" wrapText="1"/>
    </xf>
    <xf numFmtId="0" fontId="4" fillId="0" borderId="3" xfId="0" applyFont="1" applyBorder="1" applyAlignment="1">
      <alignment horizontal="center" vertical="top" wrapText="1"/>
    </xf>
    <xf numFmtId="49" fontId="4" fillId="0" borderId="3" xfId="0" applyNumberFormat="1" applyFont="1" applyBorder="1" applyAlignment="1">
      <alignment horizontal="center" vertical="top" wrapText="1"/>
    </xf>
    <xf numFmtId="0" fontId="4" fillId="0" borderId="3" xfId="0" applyFont="1" applyBorder="1" applyAlignment="1">
      <alignment horizontal="left" vertical="top" wrapText="1"/>
    </xf>
    <xf numFmtId="4" fontId="4" fillId="0" borderId="4" xfId="0" applyNumberFormat="1" applyFont="1" applyFill="1" applyBorder="1" applyAlignment="1">
      <alignment horizontal="center" vertical="center" wrapText="1"/>
    </xf>
    <xf numFmtId="0" fontId="4" fillId="0" borderId="4" xfId="0" applyFont="1" applyBorder="1" applyAlignment="1">
      <alignment horizontal="center" vertical="top" wrapText="1"/>
    </xf>
    <xf numFmtId="49" fontId="4" fillId="0" borderId="4" xfId="0" applyNumberFormat="1" applyFont="1" applyBorder="1" applyAlignment="1">
      <alignment horizontal="center"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12" xfId="0" applyFont="1" applyBorder="1" applyAlignment="1">
      <alignment horizontal="center" vertical="top" wrapText="1"/>
    </xf>
    <xf numFmtId="0" fontId="4" fillId="0" borderId="19" xfId="0" applyFont="1" applyBorder="1" applyAlignment="1">
      <alignment horizontal="center" vertical="top" wrapText="1"/>
    </xf>
    <xf numFmtId="4" fontId="4" fillId="0" borderId="4" xfId="0" applyNumberFormat="1" applyFont="1" applyFill="1" applyBorder="1" applyAlignment="1">
      <alignment horizontal="center" vertical="center" wrapText="1"/>
    </xf>
    <xf numFmtId="49" fontId="4" fillId="0" borderId="4" xfId="0" applyNumberFormat="1" applyFont="1" applyBorder="1" applyAlignment="1">
      <alignment horizontal="center" vertical="top" wrapText="1"/>
    </xf>
    <xf numFmtId="0" fontId="4" fillId="0" borderId="2" xfId="0"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4" xfId="0" applyFont="1" applyFill="1" applyBorder="1" applyAlignment="1">
      <alignment horizontal="center" vertical="top" wrapText="1"/>
    </xf>
    <xf numFmtId="0" fontId="9" fillId="0" borderId="1" xfId="0" applyFont="1" applyBorder="1" applyAlignment="1">
      <alignment horizontal="center" vertical="top"/>
    </xf>
    <xf numFmtId="4" fontId="9" fillId="0" borderId="1" xfId="0" applyNumberFormat="1" applyFont="1" applyBorder="1" applyAlignment="1">
      <alignment horizontal="center" vertical="center"/>
    </xf>
    <xf numFmtId="0" fontId="4" fillId="0" borderId="2" xfId="0" applyFont="1" applyBorder="1" applyAlignment="1">
      <alignment horizontal="center" vertical="top" wrapText="1"/>
    </xf>
    <xf numFmtId="0" fontId="4" fillId="0" borderId="1" xfId="0" applyFont="1" applyBorder="1"/>
    <xf numFmtId="4" fontId="4" fillId="0" borderId="2" xfId="0" applyNumberFormat="1" applyFont="1" applyBorder="1" applyAlignment="1">
      <alignment horizontal="center" vertical="center"/>
    </xf>
    <xf numFmtId="4" fontId="4" fillId="0" borderId="2" xfId="0" applyNumberFormat="1" applyFont="1" applyFill="1" applyBorder="1" applyAlignment="1">
      <alignment horizontal="center" vertical="center"/>
    </xf>
    <xf numFmtId="0" fontId="4" fillId="0" borderId="1" xfId="0" applyFont="1" applyBorder="1" applyAlignment="1">
      <alignment vertical="top"/>
    </xf>
    <xf numFmtId="0" fontId="4" fillId="0" borderId="1" xfId="0" applyFont="1" applyBorder="1" applyAlignment="1">
      <alignment horizontal="left" vertical="top"/>
    </xf>
    <xf numFmtId="4" fontId="4" fillId="0" borderId="4" xfId="0" applyNumberFormat="1" applyFont="1" applyBorder="1" applyAlignment="1">
      <alignment horizontal="center" vertical="center"/>
    </xf>
    <xf numFmtId="4" fontId="4" fillId="0" borderId="3" xfId="0" applyNumberFormat="1" applyFont="1" applyBorder="1" applyAlignment="1">
      <alignment horizontal="center" vertical="center"/>
    </xf>
    <xf numFmtId="4" fontId="4" fillId="0" borderId="3" xfId="0" applyNumberFormat="1" applyFont="1" applyFill="1" applyBorder="1" applyAlignment="1">
      <alignment horizontal="center" vertical="center"/>
    </xf>
    <xf numFmtId="0" fontId="10" fillId="0" borderId="0" xfId="1" applyFont="1" applyAlignment="1">
      <alignment wrapText="1"/>
    </xf>
    <xf numFmtId="4" fontId="4" fillId="0" borderId="2" xfId="0" applyNumberFormat="1" applyFont="1" applyBorder="1" applyAlignment="1">
      <alignment horizontal="center" vertical="top" wrapText="1"/>
    </xf>
    <xf numFmtId="4" fontId="4" fillId="0" borderId="3" xfId="0" applyNumberFormat="1" applyFont="1" applyBorder="1" applyAlignment="1">
      <alignment horizontal="center" vertical="top" wrapText="1"/>
    </xf>
    <xf numFmtId="0" fontId="4" fillId="0" borderId="3" xfId="0" applyFont="1" applyFill="1" applyBorder="1" applyAlignment="1">
      <alignment horizontal="center" vertical="top" wrapText="1"/>
    </xf>
    <xf numFmtId="0" fontId="4" fillId="0" borderId="3" xfId="0" applyFont="1" applyBorder="1" applyAlignment="1">
      <alignment horizontal="center" vertical="top" wrapText="1"/>
    </xf>
    <xf numFmtId="49" fontId="4" fillId="0" borderId="3" xfId="0" applyNumberFormat="1" applyFont="1" applyBorder="1" applyAlignment="1">
      <alignment horizontal="center" vertical="top" wrapText="1"/>
    </xf>
    <xf numFmtId="0" fontId="9" fillId="0" borderId="4" xfId="0" applyFont="1" applyFill="1" applyBorder="1" applyAlignment="1">
      <alignment horizontal="center" vertical="top" wrapText="1"/>
    </xf>
    <xf numFmtId="0" fontId="9" fillId="0" borderId="4" xfId="0" applyFont="1" applyBorder="1" applyAlignment="1">
      <alignment horizontal="left" vertical="top" wrapText="1"/>
    </xf>
    <xf numFmtId="0" fontId="9" fillId="0" borderId="4" xfId="0" applyFont="1" applyBorder="1" applyAlignment="1">
      <alignment horizontal="center" vertical="top" wrapText="1"/>
    </xf>
    <xf numFmtId="49" fontId="9" fillId="0" borderId="4" xfId="0" applyNumberFormat="1" applyFont="1" applyBorder="1" applyAlignment="1">
      <alignment horizontal="center" vertical="top" wrapText="1"/>
    </xf>
    <xf numFmtId="4" fontId="9" fillId="0" borderId="4" xfId="0" applyNumberFormat="1" applyFont="1" applyBorder="1" applyAlignment="1">
      <alignment horizontal="center" vertical="center" wrapText="1"/>
    </xf>
    <xf numFmtId="49" fontId="4" fillId="0" borderId="2" xfId="0" applyNumberFormat="1" applyFont="1" applyBorder="1" applyAlignment="1">
      <alignment horizontal="center" vertical="top" wrapText="1"/>
    </xf>
    <xf numFmtId="0" fontId="9" fillId="0" borderId="1" xfId="0" applyFont="1" applyBorder="1" applyAlignment="1">
      <alignment horizontal="center" vertical="top" wrapText="1"/>
    </xf>
    <xf numFmtId="0" fontId="9" fillId="0" borderId="2" xfId="0" applyFont="1" applyBorder="1" applyAlignment="1">
      <alignment horizontal="left" vertical="top" wrapText="1"/>
    </xf>
    <xf numFmtId="0" fontId="9" fillId="0" borderId="2" xfId="0" applyFont="1" applyBorder="1" applyAlignment="1">
      <alignment horizontal="center" vertical="top" wrapText="1"/>
    </xf>
    <xf numFmtId="4" fontId="9"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top" wrapText="1"/>
    </xf>
    <xf numFmtId="0" fontId="4" fillId="0" borderId="9" xfId="0" applyFont="1" applyBorder="1" applyAlignment="1">
      <alignment horizontal="center" vertical="top" wrapText="1"/>
    </xf>
    <xf numFmtId="0" fontId="4" fillId="0" borderId="9" xfId="0" applyFont="1" applyBorder="1" applyAlignment="1">
      <alignment horizontal="center" vertical="top" wrapText="1"/>
    </xf>
    <xf numFmtId="0" fontId="4" fillId="0" borderId="12" xfId="0" applyFont="1" applyBorder="1" applyAlignment="1">
      <alignment horizontal="center" vertical="top" wrapText="1"/>
    </xf>
    <xf numFmtId="0" fontId="9" fillId="3" borderId="1" xfId="0" applyFont="1" applyFill="1" applyBorder="1" applyAlignment="1">
      <alignment horizontal="center" vertical="top" wrapText="1"/>
    </xf>
    <xf numFmtId="49" fontId="9" fillId="3" borderId="1" xfId="0" applyNumberFormat="1" applyFont="1" applyFill="1" applyBorder="1" applyAlignment="1">
      <alignment horizontal="center" vertical="top" wrapText="1"/>
    </xf>
    <xf numFmtId="4" fontId="9" fillId="3"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4" fontId="4" fillId="0" borderId="4" xfId="0" applyNumberFormat="1" applyFont="1" applyFill="1" applyBorder="1" applyAlignment="1">
      <alignment horizontal="center" vertical="center"/>
    </xf>
    <xf numFmtId="0" fontId="9" fillId="0" borderId="3" xfId="0" applyFont="1" applyBorder="1" applyAlignment="1">
      <alignment horizontal="center" vertical="top" wrapText="1"/>
    </xf>
    <xf numFmtId="49" fontId="9" fillId="0" borderId="3" xfId="0" applyNumberFormat="1" applyFont="1" applyBorder="1" applyAlignment="1">
      <alignment horizontal="center" vertical="top" wrapText="1"/>
    </xf>
    <xf numFmtId="0" fontId="9" fillId="0" borderId="3" xfId="0" applyFont="1" applyBorder="1" applyAlignment="1">
      <alignment horizontal="left" vertical="top" wrapText="1"/>
    </xf>
    <xf numFmtId="0" fontId="9" fillId="0" borderId="11" xfId="0" applyFont="1" applyBorder="1" applyAlignment="1">
      <alignment horizontal="left" vertical="top" wrapText="1"/>
    </xf>
    <xf numFmtId="4" fontId="9" fillId="0" borderId="3" xfId="0" applyNumberFormat="1" applyFont="1" applyBorder="1" applyAlignment="1">
      <alignment horizontal="center" vertical="center" wrapText="1"/>
    </xf>
    <xf numFmtId="0" fontId="4" fillId="0" borderId="2" xfId="0" applyFont="1" applyBorder="1" applyAlignment="1">
      <alignment vertical="top"/>
    </xf>
    <xf numFmtId="0" fontId="12" fillId="0" borderId="3" xfId="0" applyFont="1" applyBorder="1" applyAlignment="1">
      <alignment horizontal="left" vertical="top" wrapText="1"/>
    </xf>
    <xf numFmtId="0" fontId="4" fillId="0" borderId="3" xfId="0" applyFont="1" applyBorder="1" applyAlignment="1">
      <alignment horizontal="center" vertical="top"/>
    </xf>
    <xf numFmtId="0" fontId="4" fillId="0" borderId="10" xfId="0" applyFont="1" applyBorder="1" applyAlignment="1">
      <alignment horizontal="center" vertical="top" wrapText="1"/>
    </xf>
    <xf numFmtId="0" fontId="4" fillId="0" borderId="4" xfId="0" applyFont="1" applyFill="1" applyBorder="1" applyAlignment="1">
      <alignment horizontal="left" vertical="top" wrapText="1"/>
    </xf>
    <xf numFmtId="0" fontId="4" fillId="0" borderId="11" xfId="0" applyFont="1" applyBorder="1" applyAlignment="1">
      <alignment horizontal="left" vertical="top" wrapText="1"/>
    </xf>
    <xf numFmtId="0" fontId="4" fillId="0" borderId="3" xfId="0" applyFont="1" applyBorder="1" applyAlignment="1">
      <alignment horizontal="left" vertical="top"/>
    </xf>
    <xf numFmtId="0" fontId="9" fillId="0" borderId="1" xfId="0" applyFont="1" applyFill="1" applyBorder="1" applyAlignment="1">
      <alignment horizontal="left" vertical="center" wrapText="1"/>
    </xf>
    <xf numFmtId="0" fontId="9" fillId="0" borderId="1" xfId="0" applyFont="1" applyBorder="1" applyAlignment="1">
      <alignment vertical="top"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9" xfId="0" applyFont="1" applyBorder="1" applyAlignment="1">
      <alignment horizontal="lef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4" fillId="0" borderId="8" xfId="0" applyFont="1" applyBorder="1" applyAlignment="1">
      <alignment horizontal="center" vertical="top" wrapText="1"/>
    </xf>
    <xf numFmtId="0" fontId="4" fillId="0" borderId="3" xfId="0" applyFont="1" applyBorder="1" applyAlignment="1">
      <alignment horizontal="center" vertical="top"/>
    </xf>
    <xf numFmtId="0" fontId="4" fillId="0" borderId="13" xfId="0" applyFont="1" applyBorder="1" applyAlignment="1">
      <alignment horizontal="left" vertical="top" wrapText="1"/>
    </xf>
    <xf numFmtId="0" fontId="4" fillId="0" borderId="11" xfId="0" applyFont="1" applyBorder="1" applyAlignment="1">
      <alignment horizontal="center" vertical="top" wrapText="1"/>
    </xf>
    <xf numFmtId="0" fontId="9" fillId="0" borderId="2" xfId="0" applyFont="1" applyBorder="1" applyAlignment="1">
      <alignment vertical="top" wrapText="1"/>
    </xf>
    <xf numFmtId="49" fontId="9" fillId="0" borderId="2" xfId="0" applyNumberFormat="1" applyFont="1" applyBorder="1" applyAlignment="1">
      <alignment horizontal="center" vertical="top" wrapText="1"/>
    </xf>
    <xf numFmtId="0" fontId="4" fillId="0" borderId="8" xfId="0" applyFont="1" applyBorder="1" applyAlignment="1">
      <alignment horizontal="center" vertical="top"/>
    </xf>
    <xf numFmtId="0" fontId="4" fillId="0" borderId="8" xfId="0" applyFont="1" applyBorder="1" applyAlignment="1">
      <alignment horizontal="left" vertical="top" wrapText="1"/>
    </xf>
    <xf numFmtId="0" fontId="4" fillId="0" borderId="10" xfId="0" applyFont="1" applyBorder="1" applyAlignment="1">
      <alignment horizontal="center" vertical="top"/>
    </xf>
    <xf numFmtId="0" fontId="4" fillId="0" borderId="5" xfId="0" applyFont="1" applyBorder="1" applyAlignment="1">
      <alignment vertical="top" wrapText="1"/>
    </xf>
    <xf numFmtId="4" fontId="9" fillId="0" borderId="2" xfId="0" applyNumberFormat="1" applyFont="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Border="1" applyAlignment="1">
      <alignment horizontal="left" vertical="center" wrapText="1"/>
    </xf>
    <xf numFmtId="49" fontId="4" fillId="0" borderId="10" xfId="0" applyNumberFormat="1" applyFont="1" applyBorder="1" applyAlignment="1">
      <alignment horizontal="center"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center" wrapText="1"/>
    </xf>
    <xf numFmtId="14" fontId="4" fillId="0" borderId="2" xfId="0" applyNumberFormat="1" applyFont="1" applyBorder="1" applyAlignment="1">
      <alignment horizontal="center" vertical="top" wrapText="1"/>
    </xf>
    <xf numFmtId="14" fontId="4" fillId="0" borderId="4" xfId="0" applyNumberFormat="1" applyFont="1" applyBorder="1" applyAlignment="1">
      <alignment horizontal="center" vertical="top" wrapText="1"/>
    </xf>
    <xf numFmtId="14" fontId="4" fillId="0" borderId="2" xfId="0" applyNumberFormat="1" applyFont="1" applyBorder="1" applyAlignment="1">
      <alignment horizontal="left" vertical="top" wrapText="1"/>
    </xf>
    <xf numFmtId="14" fontId="4" fillId="0" borderId="4" xfId="0" applyNumberFormat="1" applyFont="1" applyBorder="1" applyAlignment="1">
      <alignment horizontal="left" vertical="top" wrapText="1"/>
    </xf>
    <xf numFmtId="0" fontId="4" fillId="0" borderId="9" xfId="0" applyFont="1" applyBorder="1" applyAlignment="1">
      <alignment horizontal="left" vertical="top" wrapText="1"/>
    </xf>
    <xf numFmtId="0" fontId="9" fillId="2" borderId="1" xfId="0" applyFont="1" applyFill="1" applyBorder="1" applyAlignment="1">
      <alignment horizontal="center" vertical="top" wrapText="1"/>
    </xf>
    <xf numFmtId="49" fontId="9" fillId="2" borderId="1" xfId="0" applyNumberFormat="1" applyFont="1" applyFill="1" applyBorder="1" applyAlignment="1">
      <alignment horizontal="center" vertical="top" wrapText="1"/>
    </xf>
    <xf numFmtId="4" fontId="9" fillId="2" borderId="1" xfId="0" applyNumberFormat="1" applyFont="1" applyFill="1" applyBorder="1" applyAlignment="1">
      <alignment horizontal="center" vertical="center" wrapText="1"/>
    </xf>
    <xf numFmtId="0" fontId="13" fillId="0" borderId="1" xfId="0" applyFont="1" applyBorder="1" applyAlignment="1">
      <alignment horizontal="left" vertical="top" wrapText="1"/>
    </xf>
    <xf numFmtId="0" fontId="10" fillId="0" borderId="2" xfId="1" applyFont="1" applyBorder="1" applyAlignment="1">
      <alignment horizontal="center" wrapText="1"/>
    </xf>
    <xf numFmtId="0" fontId="10" fillId="0" borderId="3" xfId="1" applyFont="1" applyBorder="1" applyAlignment="1">
      <alignment horizontal="center" wrapText="1"/>
    </xf>
    <xf numFmtId="49" fontId="9" fillId="0" borderId="1" xfId="0" applyNumberFormat="1" applyFont="1" applyFill="1" applyBorder="1" applyAlignment="1">
      <alignment horizontal="center" vertical="top" wrapText="1"/>
    </xf>
    <xf numFmtId="4" fontId="9"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top" wrapText="1"/>
    </xf>
    <xf numFmtId="49" fontId="4" fillId="0" borderId="4" xfId="0" applyNumberFormat="1" applyFont="1" applyFill="1" applyBorder="1" applyAlignment="1">
      <alignment horizontal="center" vertical="top" wrapText="1"/>
    </xf>
    <xf numFmtId="49" fontId="4" fillId="0" borderId="3" xfId="0" applyNumberFormat="1" applyFont="1" applyFill="1" applyBorder="1" applyAlignment="1">
      <alignment horizontal="center"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9" fillId="0" borderId="1" xfId="0" applyFont="1" applyBorder="1" applyAlignment="1">
      <alignment horizontal="left" vertical="top" wrapText="1"/>
    </xf>
    <xf numFmtId="4" fontId="4" fillId="0" borderId="1" xfId="0" applyNumberFormat="1" applyFont="1" applyBorder="1" applyAlignment="1">
      <alignment horizontal="center" vertical="center"/>
    </xf>
    <xf numFmtId="0" fontId="4" fillId="0" borderId="14" xfId="0" applyFont="1" applyBorder="1" applyAlignment="1">
      <alignment horizontal="center"/>
    </xf>
    <xf numFmtId="0" fontId="9" fillId="0" borderId="15" xfId="0" applyFont="1" applyBorder="1" applyAlignment="1">
      <alignment horizontal="left"/>
    </xf>
    <xf numFmtId="0" fontId="9" fillId="0" borderId="16" xfId="0" applyFont="1" applyBorder="1" applyAlignment="1">
      <alignment horizontal="left"/>
    </xf>
    <xf numFmtId="0" fontId="9" fillId="0" borderId="17" xfId="0" applyFont="1" applyBorder="1" applyAlignment="1">
      <alignment horizontal="left"/>
    </xf>
    <xf numFmtId="4" fontId="4" fillId="0" borderId="18" xfId="0" applyNumberFormat="1" applyFont="1" applyBorder="1" applyAlignment="1">
      <alignment horizontal="center" vertical="center"/>
    </xf>
    <xf numFmtId="4" fontId="4" fillId="0" borderId="0" xfId="0" applyNumberFormat="1" applyFont="1"/>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consultantplus://offline/ref=3D0D1FA37BFC4FD4827B32A30E9945BF67DC73B15484D8628C3ABC299E17C3F496000D574D34C6CC6399B441G5dBH"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34"/>
  <sheetViews>
    <sheetView tabSelected="1" zoomScaleNormal="100" workbookViewId="0">
      <pane xSplit="2" ySplit="8" topLeftCell="H13" activePane="bottomRight" state="frozen"/>
      <selection pane="topRight" activeCell="C1" sqref="C1"/>
      <selection pane="bottomLeft" activeCell="A9" sqref="A9"/>
      <selection pane="bottomRight" sqref="A1:XFD1048576"/>
    </sheetView>
  </sheetViews>
  <sheetFormatPr defaultRowHeight="15" x14ac:dyDescent="0.25"/>
  <cols>
    <col min="1" max="1" width="9.140625" style="67" customWidth="1"/>
    <col min="2" max="2" width="48.7109375" style="24" customWidth="1"/>
    <col min="3" max="3" width="10.42578125" style="24" customWidth="1"/>
    <col min="4" max="4" width="10.28515625" style="67" customWidth="1"/>
    <col min="5" max="5" width="24.7109375" style="24" customWidth="1"/>
    <col min="6" max="6" width="14.42578125" style="24" customWidth="1"/>
    <col min="7" max="7" width="11.42578125" style="24" customWidth="1"/>
    <col min="8" max="8" width="25" style="24" customWidth="1"/>
    <col min="9" max="9" width="11.42578125" style="24" customWidth="1"/>
    <col min="10" max="10" width="10.7109375" style="24" customWidth="1"/>
    <col min="11" max="11" width="36" style="24" customWidth="1"/>
    <col min="12" max="12" width="8.140625" style="24" customWidth="1"/>
    <col min="13" max="13" width="11" style="24" customWidth="1"/>
    <col min="14" max="14" width="16.85546875" style="24" customWidth="1"/>
    <col min="15" max="15" width="17.85546875" style="24" customWidth="1"/>
    <col min="16" max="16" width="18.42578125" style="24" customWidth="1"/>
    <col min="17" max="17" width="18.7109375" style="24" customWidth="1"/>
    <col min="18" max="18" width="17.42578125" style="24" customWidth="1"/>
    <col min="19" max="19" width="16.7109375" style="24" customWidth="1"/>
    <col min="20" max="16384" width="9.140625" style="24"/>
  </cols>
  <sheetData>
    <row r="1" spans="1:19" x14ac:dyDescent="0.25">
      <c r="A1" s="24"/>
      <c r="B1" s="66"/>
    </row>
    <row r="2" spans="1:19" ht="18.75" x14ac:dyDescent="0.3">
      <c r="C2" s="68" t="s">
        <v>591</v>
      </c>
      <c r="D2" s="68"/>
      <c r="E2" s="68"/>
      <c r="F2" s="68"/>
      <c r="G2" s="68"/>
      <c r="H2" s="68"/>
      <c r="I2" s="68"/>
      <c r="J2" s="68"/>
      <c r="K2" s="68"/>
      <c r="L2" s="68"/>
      <c r="M2" s="68"/>
      <c r="N2" s="68"/>
      <c r="O2" s="68"/>
      <c r="P2" s="68"/>
    </row>
    <row r="3" spans="1:19" x14ac:dyDescent="0.25">
      <c r="A3" s="69" t="s">
        <v>553</v>
      </c>
      <c r="B3" s="69"/>
      <c r="I3" s="70"/>
    </row>
    <row r="4" spans="1:19" x14ac:dyDescent="0.25">
      <c r="A4" s="71" t="s">
        <v>590</v>
      </c>
      <c r="B4" s="71"/>
      <c r="S4" s="72" t="s">
        <v>17</v>
      </c>
    </row>
    <row r="5" spans="1:19" x14ac:dyDescent="0.25">
      <c r="A5" s="73" t="s">
        <v>0</v>
      </c>
      <c r="B5" s="60" t="s">
        <v>1</v>
      </c>
      <c r="C5" s="74" t="s">
        <v>2</v>
      </c>
      <c r="D5" s="74"/>
      <c r="E5" s="74" t="s">
        <v>5</v>
      </c>
      <c r="F5" s="74"/>
      <c r="G5" s="74"/>
      <c r="H5" s="74" t="s">
        <v>9</v>
      </c>
      <c r="I5" s="75"/>
      <c r="J5" s="75"/>
      <c r="K5" s="74" t="s">
        <v>10</v>
      </c>
      <c r="L5" s="75"/>
      <c r="M5" s="75"/>
      <c r="N5" s="76" t="s">
        <v>16</v>
      </c>
      <c r="O5" s="76"/>
      <c r="P5" s="76"/>
      <c r="Q5" s="76"/>
      <c r="R5" s="76"/>
      <c r="S5" s="76"/>
    </row>
    <row r="6" spans="1:19" ht="45" x14ac:dyDescent="0.25">
      <c r="A6" s="77"/>
      <c r="B6" s="60"/>
      <c r="C6" s="78" t="s">
        <v>3</v>
      </c>
      <c r="D6" s="78" t="s">
        <v>4</v>
      </c>
      <c r="E6" s="60" t="s">
        <v>6</v>
      </c>
      <c r="F6" s="60" t="s">
        <v>7</v>
      </c>
      <c r="G6" s="60" t="s">
        <v>8</v>
      </c>
      <c r="H6" s="60" t="s">
        <v>6</v>
      </c>
      <c r="I6" s="60" t="s">
        <v>7</v>
      </c>
      <c r="J6" s="60" t="s">
        <v>8</v>
      </c>
      <c r="K6" s="60" t="s">
        <v>6</v>
      </c>
      <c r="L6" s="60" t="s">
        <v>7</v>
      </c>
      <c r="M6" s="60" t="s">
        <v>8</v>
      </c>
      <c r="N6" s="60" t="s">
        <v>13</v>
      </c>
      <c r="O6" s="60"/>
      <c r="P6" s="51" t="s">
        <v>14</v>
      </c>
      <c r="Q6" s="60" t="s">
        <v>15</v>
      </c>
      <c r="R6" s="79"/>
      <c r="S6" s="79"/>
    </row>
    <row r="7" spans="1:19" x14ac:dyDescent="0.25">
      <c r="A7" s="80"/>
      <c r="B7" s="60"/>
      <c r="C7" s="78"/>
      <c r="D7" s="78"/>
      <c r="E7" s="60"/>
      <c r="F7" s="60"/>
      <c r="G7" s="60"/>
      <c r="H7" s="60"/>
      <c r="I7" s="60"/>
      <c r="J7" s="60"/>
      <c r="K7" s="60"/>
      <c r="L7" s="60"/>
      <c r="M7" s="60"/>
      <c r="N7" s="81" t="s">
        <v>11</v>
      </c>
      <c r="O7" s="81" t="s">
        <v>12</v>
      </c>
      <c r="P7" s="81" t="s">
        <v>11</v>
      </c>
      <c r="Q7" s="81" t="s">
        <v>11</v>
      </c>
      <c r="R7" s="81" t="s">
        <v>11</v>
      </c>
      <c r="S7" s="81" t="s">
        <v>11</v>
      </c>
    </row>
    <row r="8" spans="1:19" x14ac:dyDescent="0.25">
      <c r="A8" s="31">
        <v>1</v>
      </c>
      <c r="B8" s="31">
        <v>2</v>
      </c>
      <c r="C8" s="31">
        <v>3</v>
      </c>
      <c r="D8" s="31">
        <v>4</v>
      </c>
      <c r="E8" s="31">
        <v>5</v>
      </c>
      <c r="F8" s="31">
        <v>6</v>
      </c>
      <c r="G8" s="31">
        <v>7</v>
      </c>
      <c r="H8" s="31">
        <v>8</v>
      </c>
      <c r="I8" s="31">
        <v>9</v>
      </c>
      <c r="J8" s="31">
        <v>10</v>
      </c>
      <c r="K8" s="31">
        <v>11</v>
      </c>
      <c r="L8" s="31">
        <v>12</v>
      </c>
      <c r="M8" s="31">
        <v>13</v>
      </c>
      <c r="N8" s="31">
        <v>14</v>
      </c>
      <c r="O8" s="31">
        <v>15</v>
      </c>
      <c r="P8" s="31">
        <v>16</v>
      </c>
      <c r="Q8" s="31">
        <v>17</v>
      </c>
      <c r="R8" s="31">
        <v>18</v>
      </c>
      <c r="S8" s="31">
        <v>19</v>
      </c>
    </row>
    <row r="9" spans="1:19" s="70" customFormat="1" ht="14.25" x14ac:dyDescent="0.2">
      <c r="A9" s="32"/>
      <c r="B9" s="32" t="s">
        <v>18</v>
      </c>
      <c r="C9" s="32">
        <v>901</v>
      </c>
      <c r="D9" s="32"/>
      <c r="E9" s="32"/>
      <c r="F9" s="32"/>
      <c r="G9" s="32"/>
      <c r="H9" s="32"/>
      <c r="I9" s="32"/>
      <c r="J9" s="32"/>
      <c r="K9" s="32"/>
      <c r="L9" s="32"/>
      <c r="M9" s="32"/>
      <c r="N9" s="82">
        <f t="shared" ref="N9:S9" si="0">N10+N26+N36+N34</f>
        <v>118511050.72</v>
      </c>
      <c r="O9" s="82">
        <f t="shared" si="0"/>
        <v>118509097.52</v>
      </c>
      <c r="P9" s="82">
        <f t="shared" si="0"/>
        <v>126245580</v>
      </c>
      <c r="Q9" s="82">
        <f t="shared" si="0"/>
        <v>102258859</v>
      </c>
      <c r="R9" s="82">
        <f t="shared" si="0"/>
        <v>104286180</v>
      </c>
      <c r="S9" s="82">
        <f t="shared" si="0"/>
        <v>104286180</v>
      </c>
    </row>
    <row r="10" spans="1:19" s="86" customFormat="1" ht="66.75" customHeight="1" x14ac:dyDescent="0.2">
      <c r="A10" s="83">
        <v>2500</v>
      </c>
      <c r="B10" s="84" t="s">
        <v>437</v>
      </c>
      <c r="C10" s="83"/>
      <c r="D10" s="83"/>
      <c r="E10" s="83"/>
      <c r="F10" s="83"/>
      <c r="G10" s="83"/>
      <c r="H10" s="33"/>
      <c r="I10" s="33"/>
      <c r="J10" s="33"/>
      <c r="K10" s="33"/>
      <c r="L10" s="33"/>
      <c r="M10" s="33"/>
      <c r="N10" s="85">
        <f t="shared" ref="N10:S10" si="1">N11+N15+N17+N23</f>
        <v>34016476.899999999</v>
      </c>
      <c r="O10" s="85">
        <f t="shared" si="1"/>
        <v>34016476.899999999</v>
      </c>
      <c r="P10" s="85">
        <f t="shared" si="1"/>
        <v>22594723</v>
      </c>
      <c r="Q10" s="85">
        <f t="shared" si="1"/>
        <v>12109805</v>
      </c>
      <c r="R10" s="85">
        <f t="shared" si="1"/>
        <v>15115726</v>
      </c>
      <c r="S10" s="85">
        <f t="shared" si="1"/>
        <v>15115726</v>
      </c>
    </row>
    <row r="11" spans="1:19" ht="45" x14ac:dyDescent="0.25">
      <c r="A11" s="87">
        <v>2508</v>
      </c>
      <c r="B11" s="88" t="s">
        <v>38</v>
      </c>
      <c r="C11" s="87">
        <v>901</v>
      </c>
      <c r="D11" s="89" t="s">
        <v>40</v>
      </c>
      <c r="E11" s="88" t="s">
        <v>20</v>
      </c>
      <c r="F11" s="88" t="s">
        <v>317</v>
      </c>
      <c r="G11" s="88" t="s">
        <v>21</v>
      </c>
      <c r="H11" s="20"/>
      <c r="I11" s="20"/>
      <c r="J11" s="20"/>
      <c r="K11" s="20" t="s">
        <v>29</v>
      </c>
      <c r="L11" s="20" t="s">
        <v>39</v>
      </c>
      <c r="M11" s="20" t="s">
        <v>30</v>
      </c>
      <c r="N11" s="55">
        <f>11704017.9+6026040</f>
        <v>17730057.899999999</v>
      </c>
      <c r="O11" s="55">
        <f>11704017.9+6026040</f>
        <v>17730057.899999999</v>
      </c>
      <c r="P11" s="55">
        <f>14300000+2179418</f>
        <v>16479418</v>
      </c>
      <c r="Q11" s="63">
        <f>5350000+875000</f>
        <v>6225000</v>
      </c>
      <c r="R11" s="55">
        <f>8355921+875000</f>
        <v>9230921</v>
      </c>
      <c r="S11" s="55">
        <v>9230921</v>
      </c>
    </row>
    <row r="12" spans="1:19" ht="154.5" customHeight="1" x14ac:dyDescent="0.25">
      <c r="A12" s="90"/>
      <c r="B12" s="91"/>
      <c r="C12" s="92"/>
      <c r="D12" s="93"/>
      <c r="E12" s="94"/>
      <c r="F12" s="94"/>
      <c r="G12" s="94"/>
      <c r="H12" s="20"/>
      <c r="I12" s="20"/>
      <c r="J12" s="20"/>
      <c r="K12" s="20" t="s">
        <v>385</v>
      </c>
      <c r="L12" s="20"/>
      <c r="M12" s="20" t="s">
        <v>386</v>
      </c>
      <c r="N12" s="62"/>
      <c r="O12" s="62"/>
      <c r="P12" s="62"/>
      <c r="Q12" s="95"/>
      <c r="R12" s="62"/>
      <c r="S12" s="62"/>
    </row>
    <row r="13" spans="1:19" ht="120" x14ac:dyDescent="0.25">
      <c r="A13" s="90"/>
      <c r="B13" s="91"/>
      <c r="C13" s="96"/>
      <c r="D13" s="97"/>
      <c r="E13" s="98"/>
      <c r="F13" s="98"/>
      <c r="G13" s="98"/>
      <c r="H13" s="99"/>
      <c r="I13" s="99"/>
      <c r="J13" s="99"/>
      <c r="K13" s="20" t="s">
        <v>539</v>
      </c>
      <c r="L13" s="20"/>
      <c r="M13" s="26" t="s">
        <v>538</v>
      </c>
      <c r="N13" s="56"/>
      <c r="O13" s="56"/>
      <c r="P13" s="56"/>
      <c r="Q13" s="64"/>
      <c r="R13" s="56"/>
      <c r="S13" s="56"/>
    </row>
    <row r="14" spans="1:19" ht="120" x14ac:dyDescent="0.25">
      <c r="A14" s="100"/>
      <c r="B14" s="47"/>
      <c r="C14" s="101"/>
      <c r="D14" s="97"/>
      <c r="E14" s="47"/>
      <c r="F14" s="47"/>
      <c r="G14" s="47"/>
      <c r="H14" s="47"/>
      <c r="I14" s="47"/>
      <c r="J14" s="47"/>
      <c r="K14" s="43" t="s">
        <v>566</v>
      </c>
      <c r="L14" s="20"/>
      <c r="M14" s="26" t="s">
        <v>480</v>
      </c>
      <c r="N14" s="52"/>
      <c r="O14" s="52"/>
      <c r="P14" s="52"/>
      <c r="Q14" s="102"/>
      <c r="R14" s="52"/>
      <c r="S14" s="52"/>
    </row>
    <row r="15" spans="1:19" ht="45" x14ac:dyDescent="0.25">
      <c r="A15" s="90">
        <v>2537</v>
      </c>
      <c r="B15" s="91" t="s">
        <v>41</v>
      </c>
      <c r="C15" s="87">
        <v>901</v>
      </c>
      <c r="D15" s="89" t="s">
        <v>34</v>
      </c>
      <c r="E15" s="88" t="s">
        <v>20</v>
      </c>
      <c r="F15" s="90" t="s">
        <v>42</v>
      </c>
      <c r="G15" s="90" t="s">
        <v>21</v>
      </c>
      <c r="H15" s="47"/>
      <c r="I15" s="47"/>
      <c r="J15" s="47"/>
      <c r="K15" s="20" t="s">
        <v>29</v>
      </c>
      <c r="L15" s="20" t="s">
        <v>39</v>
      </c>
      <c r="M15" s="20" t="s">
        <v>30</v>
      </c>
      <c r="N15" s="55">
        <v>4734179</v>
      </c>
      <c r="O15" s="55">
        <v>4734179</v>
      </c>
      <c r="P15" s="55">
        <v>5465305</v>
      </c>
      <c r="Q15" s="55">
        <v>5435305</v>
      </c>
      <c r="R15" s="55">
        <v>5435305</v>
      </c>
      <c r="S15" s="55">
        <v>5435305</v>
      </c>
    </row>
    <row r="16" spans="1:19" ht="165" x14ac:dyDescent="0.25">
      <c r="A16" s="90"/>
      <c r="B16" s="91"/>
      <c r="C16" s="90"/>
      <c r="D16" s="103"/>
      <c r="E16" s="94"/>
      <c r="F16" s="92"/>
      <c r="G16" s="92"/>
      <c r="H16" s="20"/>
      <c r="I16" s="20"/>
      <c r="J16" s="20"/>
      <c r="K16" s="20" t="s">
        <v>43</v>
      </c>
      <c r="L16" s="20"/>
      <c r="M16" s="20" t="s">
        <v>44</v>
      </c>
      <c r="N16" s="62"/>
      <c r="O16" s="62"/>
      <c r="P16" s="62"/>
      <c r="Q16" s="62"/>
      <c r="R16" s="62"/>
      <c r="S16" s="62"/>
    </row>
    <row r="17" spans="1:19" ht="90" x14ac:dyDescent="0.25">
      <c r="A17" s="104">
        <v>2553</v>
      </c>
      <c r="B17" s="88" t="s">
        <v>484</v>
      </c>
      <c r="C17" s="87">
        <v>901</v>
      </c>
      <c r="D17" s="89" t="s">
        <v>439</v>
      </c>
      <c r="E17" s="20" t="s">
        <v>20</v>
      </c>
      <c r="F17" s="20" t="s">
        <v>47</v>
      </c>
      <c r="G17" s="20" t="s">
        <v>21</v>
      </c>
      <c r="H17" s="20"/>
      <c r="I17" s="20"/>
      <c r="J17" s="20"/>
      <c r="K17" s="20" t="s">
        <v>29</v>
      </c>
      <c r="L17" s="20"/>
      <c r="M17" s="27" t="s">
        <v>30</v>
      </c>
      <c r="N17" s="55">
        <v>11452240</v>
      </c>
      <c r="O17" s="55">
        <v>11452240</v>
      </c>
      <c r="P17" s="55">
        <v>500000</v>
      </c>
      <c r="Q17" s="55">
        <v>299500</v>
      </c>
      <c r="R17" s="55">
        <v>299500</v>
      </c>
      <c r="S17" s="55">
        <v>299500</v>
      </c>
    </row>
    <row r="18" spans="1:19" ht="135" x14ac:dyDescent="0.25">
      <c r="A18" s="105"/>
      <c r="B18" s="94"/>
      <c r="C18" s="92"/>
      <c r="D18" s="93"/>
      <c r="E18" s="20" t="s">
        <v>45</v>
      </c>
      <c r="F18" s="20" t="s">
        <v>310</v>
      </c>
      <c r="G18" s="20" t="s">
        <v>28</v>
      </c>
      <c r="H18" s="20"/>
      <c r="I18" s="20"/>
      <c r="J18" s="20"/>
      <c r="K18" s="25" t="s">
        <v>464</v>
      </c>
      <c r="L18" s="20"/>
      <c r="M18" s="27" t="s">
        <v>479</v>
      </c>
      <c r="N18" s="62"/>
      <c r="O18" s="62"/>
      <c r="P18" s="62"/>
      <c r="Q18" s="62"/>
      <c r="R18" s="62"/>
      <c r="S18" s="62"/>
    </row>
    <row r="19" spans="1:19" ht="120" x14ac:dyDescent="0.25">
      <c r="A19" s="106"/>
      <c r="B19" s="98"/>
      <c r="C19" s="96"/>
      <c r="D19" s="97"/>
      <c r="E19" s="20"/>
      <c r="F19" s="20"/>
      <c r="G19" s="20"/>
      <c r="H19" s="20"/>
      <c r="I19" s="20"/>
      <c r="J19" s="20"/>
      <c r="K19" s="25" t="s">
        <v>546</v>
      </c>
      <c r="L19" s="25"/>
      <c r="M19" s="45" t="s">
        <v>547</v>
      </c>
      <c r="N19" s="62"/>
      <c r="O19" s="62"/>
      <c r="P19" s="62"/>
      <c r="Q19" s="62"/>
      <c r="R19" s="62"/>
      <c r="S19" s="62"/>
    </row>
    <row r="20" spans="1:19" ht="120" x14ac:dyDescent="0.25">
      <c r="A20" s="106"/>
      <c r="B20" s="98"/>
      <c r="C20" s="96"/>
      <c r="D20" s="97"/>
      <c r="E20" s="20"/>
      <c r="F20" s="20"/>
      <c r="G20" s="20"/>
      <c r="H20" s="20"/>
      <c r="I20" s="20"/>
      <c r="J20" s="20"/>
      <c r="K20" s="20" t="s">
        <v>460</v>
      </c>
      <c r="L20" s="20"/>
      <c r="M20" s="27" t="s">
        <v>461</v>
      </c>
      <c r="N20" s="56"/>
      <c r="O20" s="56"/>
      <c r="P20" s="56"/>
      <c r="Q20" s="56"/>
      <c r="R20" s="56"/>
      <c r="S20" s="56"/>
    </row>
    <row r="21" spans="1:19" ht="120" x14ac:dyDescent="0.25">
      <c r="A21" s="106"/>
      <c r="B21" s="98"/>
      <c r="C21" s="96"/>
      <c r="D21" s="97"/>
      <c r="E21" s="99"/>
      <c r="F21" s="99"/>
      <c r="G21" s="99"/>
      <c r="H21" s="20"/>
      <c r="I21" s="20"/>
      <c r="J21" s="20"/>
      <c r="K21" s="20" t="s">
        <v>540</v>
      </c>
      <c r="L21" s="20"/>
      <c r="M21" s="27" t="s">
        <v>541</v>
      </c>
      <c r="N21" s="52"/>
      <c r="O21" s="52"/>
      <c r="P21" s="52"/>
      <c r="Q21" s="52"/>
      <c r="R21" s="52"/>
      <c r="S21" s="52"/>
    </row>
    <row r="22" spans="1:19" ht="120" x14ac:dyDescent="0.25">
      <c r="A22" s="106"/>
      <c r="B22" s="98"/>
      <c r="C22" s="96"/>
      <c r="D22" s="97"/>
      <c r="E22" s="99"/>
      <c r="F22" s="99"/>
      <c r="G22" s="99"/>
      <c r="H22" s="20"/>
      <c r="I22" s="20"/>
      <c r="J22" s="20"/>
      <c r="K22" s="20" t="s">
        <v>568</v>
      </c>
      <c r="L22" s="20"/>
      <c r="M22" s="27" t="s">
        <v>567</v>
      </c>
      <c r="N22" s="52"/>
      <c r="O22" s="52"/>
      <c r="P22" s="52"/>
      <c r="Q22" s="52"/>
      <c r="R22" s="52"/>
      <c r="S22" s="52"/>
    </row>
    <row r="23" spans="1:19" ht="45" x14ac:dyDescent="0.25">
      <c r="A23" s="104">
        <v>2557</v>
      </c>
      <c r="B23" s="88" t="s">
        <v>388</v>
      </c>
      <c r="C23" s="87">
        <v>901</v>
      </c>
      <c r="D23" s="89" t="s">
        <v>34</v>
      </c>
      <c r="E23" s="88" t="s">
        <v>20</v>
      </c>
      <c r="F23" s="88" t="s">
        <v>389</v>
      </c>
      <c r="G23" s="88" t="s">
        <v>21</v>
      </c>
      <c r="H23" s="20"/>
      <c r="I23" s="20"/>
      <c r="J23" s="20"/>
      <c r="K23" s="20" t="s">
        <v>29</v>
      </c>
      <c r="L23" s="20"/>
      <c r="M23" s="27" t="s">
        <v>30</v>
      </c>
      <c r="N23" s="55">
        <v>100000</v>
      </c>
      <c r="O23" s="55">
        <v>100000</v>
      </c>
      <c r="P23" s="55">
        <v>150000</v>
      </c>
      <c r="Q23" s="55">
        <v>150000</v>
      </c>
      <c r="R23" s="55">
        <v>150000</v>
      </c>
      <c r="S23" s="55">
        <v>150000</v>
      </c>
    </row>
    <row r="24" spans="1:19" ht="110.25" customHeight="1" x14ac:dyDescent="0.25">
      <c r="A24" s="107"/>
      <c r="B24" s="91"/>
      <c r="C24" s="90"/>
      <c r="D24" s="103"/>
      <c r="E24" s="91"/>
      <c r="F24" s="91"/>
      <c r="G24" s="91"/>
      <c r="H24" s="20"/>
      <c r="I24" s="20"/>
      <c r="J24" s="20"/>
      <c r="K24" s="20" t="s">
        <v>427</v>
      </c>
      <c r="L24" s="20"/>
      <c r="M24" s="27" t="s">
        <v>428</v>
      </c>
      <c r="N24" s="62"/>
      <c r="O24" s="62"/>
      <c r="P24" s="62"/>
      <c r="Q24" s="62"/>
      <c r="R24" s="62"/>
      <c r="S24" s="62"/>
    </row>
    <row r="25" spans="1:19" ht="137.25" customHeight="1" x14ac:dyDescent="0.25">
      <c r="A25" s="105"/>
      <c r="B25" s="94"/>
      <c r="C25" s="92"/>
      <c r="D25" s="93"/>
      <c r="E25" s="94"/>
      <c r="F25" s="94"/>
      <c r="G25" s="94"/>
      <c r="H25" s="20"/>
      <c r="I25" s="20"/>
      <c r="J25" s="20"/>
      <c r="K25" s="20" t="s">
        <v>31</v>
      </c>
      <c r="L25" s="20"/>
      <c r="M25" s="20" t="s">
        <v>32</v>
      </c>
      <c r="N25" s="56"/>
      <c r="O25" s="56"/>
      <c r="P25" s="56"/>
      <c r="Q25" s="56"/>
      <c r="R25" s="56"/>
      <c r="S25" s="56"/>
    </row>
    <row r="26" spans="1:19" s="70" customFormat="1" ht="114" x14ac:dyDescent="0.2">
      <c r="A26" s="108">
        <v>2600</v>
      </c>
      <c r="B26" s="35" t="s">
        <v>438</v>
      </c>
      <c r="C26" s="34"/>
      <c r="D26" s="34"/>
      <c r="E26" s="34"/>
      <c r="F26" s="34"/>
      <c r="G26" s="34"/>
      <c r="H26" s="34"/>
      <c r="I26" s="34"/>
      <c r="J26" s="34"/>
      <c r="K26" s="34"/>
      <c r="L26" s="34"/>
      <c r="M26" s="34"/>
      <c r="N26" s="109">
        <f>N27+N29+N33</f>
        <v>73766822.820000008</v>
      </c>
      <c r="O26" s="109">
        <f t="shared" ref="O26:R26" si="2">O27+O29+O33</f>
        <v>73766822.820000008</v>
      </c>
      <c r="P26" s="109">
        <f>P27+P29+P33+P31</f>
        <v>92046057</v>
      </c>
      <c r="Q26" s="109">
        <f t="shared" si="2"/>
        <v>77678054</v>
      </c>
      <c r="R26" s="109">
        <f t="shared" si="2"/>
        <v>77678054</v>
      </c>
      <c r="S26" s="109">
        <f>S27+S29+S33</f>
        <v>77678054</v>
      </c>
    </row>
    <row r="27" spans="1:19" ht="90" x14ac:dyDescent="0.25">
      <c r="A27" s="57" t="s">
        <v>430</v>
      </c>
      <c r="B27" s="88" t="s">
        <v>485</v>
      </c>
      <c r="C27" s="57">
        <v>901</v>
      </c>
      <c r="D27" s="87" t="s">
        <v>19</v>
      </c>
      <c r="E27" s="99" t="s">
        <v>20</v>
      </c>
      <c r="F27" s="99" t="s">
        <v>315</v>
      </c>
      <c r="G27" s="110" t="s">
        <v>21</v>
      </c>
      <c r="H27" s="99" t="s">
        <v>24</v>
      </c>
      <c r="I27" s="15" t="s">
        <v>48</v>
      </c>
      <c r="J27" s="110" t="s">
        <v>26</v>
      </c>
      <c r="K27" s="20" t="s">
        <v>29</v>
      </c>
      <c r="L27" s="111"/>
      <c r="M27" s="20" t="s">
        <v>30</v>
      </c>
      <c r="N27" s="112">
        <f>2791359.72+49738900.22+154760+13282880.98-N33+140616</f>
        <v>65661626.920000002</v>
      </c>
      <c r="O27" s="112">
        <f>2791359.72+49738900.22+154760+13282880.98-O33+140616</f>
        <v>65661626.920000002</v>
      </c>
      <c r="P27" s="112">
        <f>2924512.6+58684896.4+12912316-150000-P33</f>
        <v>73806409</v>
      </c>
      <c r="Q27" s="113">
        <f>2924512.6+58214896.4+8514313-150000-Q33</f>
        <v>68938406</v>
      </c>
      <c r="R27" s="112">
        <f>2924512.6+58214896.4+8514313-150000-R33</f>
        <v>68938406</v>
      </c>
      <c r="S27" s="112">
        <v>68938406</v>
      </c>
    </row>
    <row r="28" spans="1:19" ht="230.25" customHeight="1" x14ac:dyDescent="0.25">
      <c r="A28" s="58"/>
      <c r="B28" s="91"/>
      <c r="C28" s="58"/>
      <c r="D28" s="90"/>
      <c r="E28" s="42" t="s">
        <v>22</v>
      </c>
      <c r="F28" s="114" t="s">
        <v>48</v>
      </c>
      <c r="G28" s="42" t="s">
        <v>23</v>
      </c>
      <c r="H28" s="20" t="s">
        <v>27</v>
      </c>
      <c r="I28" s="115" t="s">
        <v>48</v>
      </c>
      <c r="J28" s="20" t="s">
        <v>28</v>
      </c>
      <c r="K28" s="20"/>
      <c r="L28" s="20"/>
      <c r="M28" s="26"/>
      <c r="N28" s="116"/>
      <c r="O28" s="116"/>
      <c r="P28" s="117"/>
      <c r="Q28" s="118"/>
      <c r="R28" s="116"/>
      <c r="S28" s="116"/>
    </row>
    <row r="29" spans="1:19" ht="30" x14ac:dyDescent="0.25">
      <c r="A29" s="87">
        <v>2608</v>
      </c>
      <c r="B29" s="88" t="s">
        <v>338</v>
      </c>
      <c r="C29" s="87">
        <v>901</v>
      </c>
      <c r="D29" s="89" t="s">
        <v>34</v>
      </c>
      <c r="E29" s="88" t="s">
        <v>20</v>
      </c>
      <c r="F29" s="88" t="s">
        <v>316</v>
      </c>
      <c r="G29" s="87" t="s">
        <v>21</v>
      </c>
      <c r="H29" s="119"/>
      <c r="I29" s="20"/>
      <c r="J29" s="20"/>
      <c r="K29" s="20" t="s">
        <v>29</v>
      </c>
      <c r="L29" s="114" t="s">
        <v>36</v>
      </c>
      <c r="M29" s="20" t="s">
        <v>37</v>
      </c>
      <c r="N29" s="55">
        <v>7658305.9000000004</v>
      </c>
      <c r="O29" s="55">
        <v>7658305.9000000004</v>
      </c>
      <c r="P29" s="55">
        <v>8174332</v>
      </c>
      <c r="Q29" s="55">
        <v>8174332</v>
      </c>
      <c r="R29" s="112">
        <v>8174332</v>
      </c>
      <c r="S29" s="112">
        <v>8174332</v>
      </c>
    </row>
    <row r="30" spans="1:19" ht="90" x14ac:dyDescent="0.25">
      <c r="A30" s="92"/>
      <c r="B30" s="94"/>
      <c r="C30" s="92"/>
      <c r="D30" s="93"/>
      <c r="E30" s="94"/>
      <c r="F30" s="94"/>
      <c r="G30" s="92"/>
      <c r="H30" s="20"/>
      <c r="I30" s="20"/>
      <c r="J30" s="20"/>
      <c r="K30" s="20" t="s">
        <v>469</v>
      </c>
      <c r="L30" s="114"/>
      <c r="M30" s="20" t="s">
        <v>481</v>
      </c>
      <c r="N30" s="56"/>
      <c r="O30" s="56"/>
      <c r="P30" s="56"/>
      <c r="Q30" s="56"/>
      <c r="R30" s="117"/>
      <c r="S30" s="117"/>
    </row>
    <row r="31" spans="1:19" ht="101.25" customHeight="1" x14ac:dyDescent="0.25">
      <c r="A31" s="87">
        <v>2613</v>
      </c>
      <c r="B31" s="88" t="s">
        <v>522</v>
      </c>
      <c r="C31" s="87">
        <v>901</v>
      </c>
      <c r="D31" s="89" t="s">
        <v>523</v>
      </c>
      <c r="E31" s="20" t="s">
        <v>20</v>
      </c>
      <c r="F31" s="20" t="s">
        <v>524</v>
      </c>
      <c r="G31" s="20" t="s">
        <v>21</v>
      </c>
      <c r="H31" s="20" t="s">
        <v>525</v>
      </c>
      <c r="I31" s="20" t="s">
        <v>526</v>
      </c>
      <c r="J31" s="20" t="s">
        <v>527</v>
      </c>
      <c r="K31" s="20" t="s">
        <v>29</v>
      </c>
      <c r="L31" s="20"/>
      <c r="M31" s="20" t="s">
        <v>30</v>
      </c>
      <c r="N31" s="120">
        <v>0</v>
      </c>
      <c r="O31" s="120">
        <v>0</v>
      </c>
      <c r="P31" s="120">
        <v>9500000</v>
      </c>
      <c r="Q31" s="120"/>
      <c r="R31" s="120"/>
      <c r="S31" s="120"/>
    </row>
    <row r="32" spans="1:19" ht="34.5" customHeight="1" x14ac:dyDescent="0.25">
      <c r="A32" s="92"/>
      <c r="B32" s="94"/>
      <c r="C32" s="92"/>
      <c r="D32" s="93"/>
      <c r="E32" s="20" t="s">
        <v>528</v>
      </c>
      <c r="F32" s="20" t="s">
        <v>529</v>
      </c>
      <c r="G32" s="20" t="s">
        <v>530</v>
      </c>
      <c r="H32" s="20"/>
      <c r="I32" s="20"/>
      <c r="J32" s="20"/>
      <c r="K32" s="20"/>
      <c r="L32" s="20"/>
      <c r="M32" s="20"/>
      <c r="N32" s="121"/>
      <c r="O32" s="121"/>
      <c r="P32" s="121"/>
      <c r="Q32" s="121"/>
      <c r="R32" s="121"/>
      <c r="S32" s="121"/>
    </row>
    <row r="33" spans="1:19" ht="49.5" customHeight="1" x14ac:dyDescent="0.25">
      <c r="A33" s="122">
        <v>2626</v>
      </c>
      <c r="B33" s="47" t="s">
        <v>554</v>
      </c>
      <c r="C33" s="123">
        <v>901</v>
      </c>
      <c r="D33" s="124" t="s">
        <v>34</v>
      </c>
      <c r="E33" s="20" t="s">
        <v>20</v>
      </c>
      <c r="F33" s="20" t="s">
        <v>360</v>
      </c>
      <c r="G33" s="20" t="s">
        <v>21</v>
      </c>
      <c r="H33" s="20"/>
      <c r="I33" s="20"/>
      <c r="J33" s="20"/>
      <c r="K33" s="20" t="s">
        <v>29</v>
      </c>
      <c r="L33" s="20"/>
      <c r="M33" s="20" t="s">
        <v>30</v>
      </c>
      <c r="N33" s="49">
        <f>437890+9000</f>
        <v>446890</v>
      </c>
      <c r="O33" s="49">
        <v>446890</v>
      </c>
      <c r="P33" s="49">
        <v>565316</v>
      </c>
      <c r="Q33" s="49">
        <v>565316</v>
      </c>
      <c r="R33" s="49">
        <v>565316</v>
      </c>
      <c r="S33" s="49">
        <v>565316</v>
      </c>
    </row>
    <row r="34" spans="1:19" s="70" customFormat="1" ht="156.75" x14ac:dyDescent="0.2">
      <c r="A34" s="125">
        <v>3100</v>
      </c>
      <c r="B34" s="126" t="s">
        <v>486</v>
      </c>
      <c r="C34" s="127"/>
      <c r="D34" s="128"/>
      <c r="E34" s="35"/>
      <c r="F34" s="35"/>
      <c r="G34" s="35"/>
      <c r="H34" s="35"/>
      <c r="I34" s="35"/>
      <c r="J34" s="35"/>
      <c r="K34" s="35"/>
      <c r="L34" s="35"/>
      <c r="M34" s="35"/>
      <c r="N34" s="129">
        <f>N35</f>
        <v>10100</v>
      </c>
      <c r="O34" s="129">
        <f>O35</f>
        <v>10100</v>
      </c>
      <c r="P34" s="129">
        <f>P35</f>
        <v>112400</v>
      </c>
      <c r="Q34" s="129">
        <f t="shared" ref="Q34:S34" si="3">Q35</f>
        <v>978600</v>
      </c>
      <c r="R34" s="129">
        <f t="shared" si="3"/>
        <v>0</v>
      </c>
      <c r="S34" s="129">
        <f t="shared" si="3"/>
        <v>0</v>
      </c>
    </row>
    <row r="35" spans="1:19" ht="150" x14ac:dyDescent="0.25">
      <c r="A35" s="110">
        <v>3103</v>
      </c>
      <c r="B35" s="99" t="s">
        <v>487</v>
      </c>
      <c r="C35" s="110">
        <v>901</v>
      </c>
      <c r="D35" s="130" t="s">
        <v>77</v>
      </c>
      <c r="E35" s="20" t="s">
        <v>76</v>
      </c>
      <c r="F35" s="20" t="s">
        <v>46</v>
      </c>
      <c r="G35" s="20" t="s">
        <v>78</v>
      </c>
      <c r="H35" s="20" t="s">
        <v>79</v>
      </c>
      <c r="I35" s="20" t="s">
        <v>48</v>
      </c>
      <c r="J35" s="20" t="s">
        <v>80</v>
      </c>
      <c r="K35" s="20" t="s">
        <v>369</v>
      </c>
      <c r="L35" s="20"/>
      <c r="M35" s="20" t="s">
        <v>370</v>
      </c>
      <c r="N35" s="48">
        <v>10100</v>
      </c>
      <c r="O35" s="48">
        <v>10100</v>
      </c>
      <c r="P35" s="48">
        <v>112400</v>
      </c>
      <c r="Q35" s="48">
        <v>978600</v>
      </c>
      <c r="R35" s="48">
        <v>0</v>
      </c>
      <c r="S35" s="48">
        <v>0</v>
      </c>
    </row>
    <row r="36" spans="1:19" s="70" customFormat="1" ht="42.75" x14ac:dyDescent="0.2">
      <c r="A36" s="131">
        <v>3200</v>
      </c>
      <c r="B36" s="35" t="s">
        <v>488</v>
      </c>
      <c r="C36" s="132"/>
      <c r="D36" s="133"/>
      <c r="E36" s="132"/>
      <c r="F36" s="132"/>
      <c r="G36" s="132"/>
      <c r="H36" s="132"/>
      <c r="I36" s="132"/>
      <c r="J36" s="132"/>
      <c r="K36" s="35"/>
      <c r="L36" s="35"/>
      <c r="M36" s="35"/>
      <c r="N36" s="134">
        <f t="shared" ref="N36:O36" si="4">SUM(N37:N43)+N46+N44</f>
        <v>10717651</v>
      </c>
      <c r="O36" s="134">
        <f t="shared" si="4"/>
        <v>10715697.799999999</v>
      </c>
      <c r="P36" s="134">
        <f>SUM(P37:P43)+P46+P44</f>
        <v>11492400</v>
      </c>
      <c r="Q36" s="134">
        <f t="shared" ref="Q36:S36" si="5">SUM(Q37:Q43)+Q46+Q44</f>
        <v>11492400</v>
      </c>
      <c r="R36" s="134">
        <f t="shared" si="5"/>
        <v>11492400</v>
      </c>
      <c r="S36" s="134">
        <f t="shared" si="5"/>
        <v>11492400</v>
      </c>
    </row>
    <row r="37" spans="1:19" ht="122.25" customHeight="1" x14ac:dyDescent="0.25">
      <c r="A37" s="110" t="s">
        <v>490</v>
      </c>
      <c r="B37" s="99" t="s">
        <v>489</v>
      </c>
      <c r="C37" s="110">
        <v>901</v>
      </c>
      <c r="D37" s="130" t="s">
        <v>34</v>
      </c>
      <c r="E37" s="99" t="s">
        <v>54</v>
      </c>
      <c r="F37" s="99" t="s">
        <v>55</v>
      </c>
      <c r="G37" s="99" t="s">
        <v>56</v>
      </c>
      <c r="H37" s="99" t="s">
        <v>57</v>
      </c>
      <c r="I37" s="99" t="s">
        <v>48</v>
      </c>
      <c r="J37" s="99" t="s">
        <v>58</v>
      </c>
      <c r="K37" s="43" t="s">
        <v>364</v>
      </c>
      <c r="L37" s="20"/>
      <c r="M37" s="20" t="s">
        <v>368</v>
      </c>
      <c r="N37" s="135">
        <v>354140</v>
      </c>
      <c r="O37" s="135">
        <v>354139.86</v>
      </c>
      <c r="P37" s="135">
        <v>436900</v>
      </c>
      <c r="Q37" s="135">
        <v>436900</v>
      </c>
      <c r="R37" s="135">
        <v>436900</v>
      </c>
      <c r="S37" s="135">
        <v>436900</v>
      </c>
    </row>
    <row r="38" spans="1:19" ht="229.5" customHeight="1" x14ac:dyDescent="0.25">
      <c r="A38" s="110" t="s">
        <v>440</v>
      </c>
      <c r="B38" s="99" t="s">
        <v>59</v>
      </c>
      <c r="C38" s="136">
        <v>901</v>
      </c>
      <c r="D38" s="137" t="s">
        <v>60</v>
      </c>
      <c r="E38" s="20" t="s">
        <v>571</v>
      </c>
      <c r="F38" s="20" t="s">
        <v>573</v>
      </c>
      <c r="G38" s="20" t="s">
        <v>574</v>
      </c>
      <c r="H38" s="20" t="s">
        <v>61</v>
      </c>
      <c r="I38" s="20" t="s">
        <v>48</v>
      </c>
      <c r="J38" s="20" t="s">
        <v>62</v>
      </c>
      <c r="K38" s="20" t="s">
        <v>82</v>
      </c>
      <c r="L38" s="20"/>
      <c r="M38" s="20" t="s">
        <v>63</v>
      </c>
      <c r="N38" s="135">
        <v>428900</v>
      </c>
      <c r="O38" s="135">
        <v>428899.28</v>
      </c>
      <c r="P38" s="135">
        <v>345300</v>
      </c>
      <c r="Q38" s="135">
        <v>345300</v>
      </c>
      <c r="R38" s="135">
        <v>345300</v>
      </c>
      <c r="S38" s="135">
        <v>345300</v>
      </c>
    </row>
    <row r="39" spans="1:19" ht="195" x14ac:dyDescent="0.25">
      <c r="A39" s="110" t="s">
        <v>440</v>
      </c>
      <c r="B39" s="99" t="s">
        <v>407</v>
      </c>
      <c r="C39" s="138">
        <v>901</v>
      </c>
      <c r="D39" s="130" t="s">
        <v>60</v>
      </c>
      <c r="E39" s="20" t="s">
        <v>571</v>
      </c>
      <c r="F39" s="20" t="s">
        <v>572</v>
      </c>
      <c r="G39" s="20" t="s">
        <v>574</v>
      </c>
      <c r="H39" s="20" t="s">
        <v>575</v>
      </c>
      <c r="I39" s="20" t="s">
        <v>48</v>
      </c>
      <c r="J39" s="20" t="s">
        <v>576</v>
      </c>
      <c r="K39" s="20" t="s">
        <v>445</v>
      </c>
      <c r="L39" s="20"/>
      <c r="M39" s="20" t="s">
        <v>451</v>
      </c>
      <c r="N39" s="48">
        <v>2608590</v>
      </c>
      <c r="O39" s="48">
        <v>2608589.9</v>
      </c>
      <c r="P39" s="48">
        <v>2600500</v>
      </c>
      <c r="Q39" s="48">
        <v>2600500</v>
      </c>
      <c r="R39" s="48">
        <v>2600500</v>
      </c>
      <c r="S39" s="48">
        <v>2600500</v>
      </c>
    </row>
    <row r="40" spans="1:19" ht="195" x14ac:dyDescent="0.25">
      <c r="A40" s="87" t="s">
        <v>440</v>
      </c>
      <c r="B40" s="88" t="s">
        <v>64</v>
      </c>
      <c r="C40" s="139">
        <v>901</v>
      </c>
      <c r="D40" s="89" t="s">
        <v>60</v>
      </c>
      <c r="E40" s="20" t="s">
        <v>571</v>
      </c>
      <c r="F40" s="20" t="s">
        <v>577</v>
      </c>
      <c r="G40" s="20" t="s">
        <v>574</v>
      </c>
      <c r="H40" s="20" t="s">
        <v>65</v>
      </c>
      <c r="I40" s="20" t="s">
        <v>48</v>
      </c>
      <c r="J40" s="20" t="s">
        <v>66</v>
      </c>
      <c r="K40" s="20" t="s">
        <v>69</v>
      </c>
      <c r="L40" s="20"/>
      <c r="M40" s="20" t="s">
        <v>70</v>
      </c>
      <c r="N40" s="55">
        <v>2995235</v>
      </c>
      <c r="O40" s="55">
        <v>2994296.3</v>
      </c>
      <c r="P40" s="55">
        <v>3317400</v>
      </c>
      <c r="Q40" s="55">
        <v>3317400</v>
      </c>
      <c r="R40" s="55">
        <v>3317400</v>
      </c>
      <c r="S40" s="55">
        <v>3317400</v>
      </c>
    </row>
    <row r="41" spans="1:19" ht="90" x14ac:dyDescent="0.25">
      <c r="A41" s="92"/>
      <c r="B41" s="94"/>
      <c r="C41" s="140"/>
      <c r="D41" s="93"/>
      <c r="E41" s="20"/>
      <c r="F41" s="20"/>
      <c r="G41" s="20"/>
      <c r="H41" s="20" t="s">
        <v>67</v>
      </c>
      <c r="I41" s="20" t="s">
        <v>48</v>
      </c>
      <c r="J41" s="20" t="s">
        <v>68</v>
      </c>
      <c r="K41" s="20"/>
      <c r="L41" s="20"/>
      <c r="M41" s="20"/>
      <c r="N41" s="56"/>
      <c r="O41" s="56"/>
      <c r="P41" s="56"/>
      <c r="Q41" s="56"/>
      <c r="R41" s="56"/>
      <c r="S41" s="56"/>
    </row>
    <row r="42" spans="1:19" ht="180" x14ac:dyDescent="0.25">
      <c r="A42" s="90" t="s">
        <v>440</v>
      </c>
      <c r="B42" s="91" t="s">
        <v>71</v>
      </c>
      <c r="C42" s="87">
        <v>901</v>
      </c>
      <c r="D42" s="89" t="s">
        <v>60</v>
      </c>
      <c r="E42" s="20" t="s">
        <v>571</v>
      </c>
      <c r="F42" s="20" t="s">
        <v>577</v>
      </c>
      <c r="G42" s="20" t="s">
        <v>574</v>
      </c>
      <c r="H42" s="20" t="s">
        <v>72</v>
      </c>
      <c r="I42" s="20" t="s">
        <v>48</v>
      </c>
      <c r="J42" s="20" t="s">
        <v>73</v>
      </c>
      <c r="K42" s="20" t="s">
        <v>365</v>
      </c>
      <c r="L42" s="20"/>
      <c r="M42" s="20" t="s">
        <v>368</v>
      </c>
      <c r="N42" s="55">
        <v>1099800</v>
      </c>
      <c r="O42" s="55">
        <v>1098786.52</v>
      </c>
      <c r="P42" s="55">
        <v>1214300</v>
      </c>
      <c r="Q42" s="55">
        <v>1214300</v>
      </c>
      <c r="R42" s="55">
        <v>1214300</v>
      </c>
      <c r="S42" s="55">
        <v>1214300</v>
      </c>
    </row>
    <row r="43" spans="1:19" ht="75" x14ac:dyDescent="0.25">
      <c r="A43" s="92"/>
      <c r="B43" s="94"/>
      <c r="C43" s="92"/>
      <c r="D43" s="93"/>
      <c r="E43" s="20"/>
      <c r="F43" s="20"/>
      <c r="G43" s="20"/>
      <c r="H43" s="20" t="s">
        <v>74</v>
      </c>
      <c r="I43" s="20" t="s">
        <v>48</v>
      </c>
      <c r="J43" s="20" t="s">
        <v>75</v>
      </c>
      <c r="K43" s="20"/>
      <c r="L43" s="20"/>
      <c r="M43" s="20"/>
      <c r="N43" s="56"/>
      <c r="O43" s="56"/>
      <c r="P43" s="56"/>
      <c r="Q43" s="56"/>
      <c r="R43" s="56"/>
      <c r="S43" s="56"/>
    </row>
    <row r="44" spans="1:19" ht="358.5" customHeight="1" x14ac:dyDescent="0.25">
      <c r="A44" s="96">
        <v>3201.3202000000001</v>
      </c>
      <c r="B44" s="47" t="s">
        <v>569</v>
      </c>
      <c r="C44" s="123">
        <v>901</v>
      </c>
      <c r="D44" s="124" t="s">
        <v>60</v>
      </c>
      <c r="E44" s="20" t="s">
        <v>571</v>
      </c>
      <c r="F44" s="20" t="s">
        <v>578</v>
      </c>
      <c r="G44" s="20" t="s">
        <v>574</v>
      </c>
      <c r="H44" s="46" t="s">
        <v>570</v>
      </c>
      <c r="I44" s="20"/>
      <c r="J44" s="20" t="s">
        <v>455</v>
      </c>
      <c r="K44" s="20" t="s">
        <v>454</v>
      </c>
      <c r="L44" s="20"/>
      <c r="M44" s="20" t="s">
        <v>456</v>
      </c>
      <c r="N44" s="55">
        <v>627000</v>
      </c>
      <c r="O44" s="55">
        <v>627000</v>
      </c>
      <c r="P44" s="55">
        <v>694500</v>
      </c>
      <c r="Q44" s="55">
        <v>694500</v>
      </c>
      <c r="R44" s="55">
        <v>694500</v>
      </c>
      <c r="S44" s="55">
        <v>694500</v>
      </c>
    </row>
    <row r="45" spans="1:19" ht="198.75" customHeight="1" x14ac:dyDescent="0.25">
      <c r="A45" s="96"/>
      <c r="B45" s="47"/>
      <c r="C45" s="123"/>
      <c r="D45" s="124"/>
      <c r="E45" s="20"/>
      <c r="F45" s="20"/>
      <c r="G45" s="20"/>
      <c r="H45" s="37"/>
      <c r="I45" s="20"/>
      <c r="J45" s="20"/>
      <c r="K45" s="20" t="s">
        <v>510</v>
      </c>
      <c r="L45" s="20"/>
      <c r="M45" s="20" t="s">
        <v>511</v>
      </c>
      <c r="N45" s="56"/>
      <c r="O45" s="56"/>
      <c r="P45" s="56"/>
      <c r="Q45" s="56"/>
      <c r="R45" s="56"/>
      <c r="S45" s="56"/>
    </row>
    <row r="46" spans="1:19" ht="240" x14ac:dyDescent="0.25">
      <c r="A46" s="110" t="s">
        <v>440</v>
      </c>
      <c r="B46" s="47" t="s">
        <v>491</v>
      </c>
      <c r="C46" s="123">
        <v>901</v>
      </c>
      <c r="D46" s="124" t="s">
        <v>319</v>
      </c>
      <c r="E46" s="20" t="s">
        <v>571</v>
      </c>
      <c r="F46" s="20" t="s">
        <v>578</v>
      </c>
      <c r="G46" s="20" t="s">
        <v>574</v>
      </c>
      <c r="H46" s="20" t="s">
        <v>390</v>
      </c>
      <c r="I46" s="20" t="s">
        <v>198</v>
      </c>
      <c r="J46" s="20" t="s">
        <v>391</v>
      </c>
      <c r="K46" s="20" t="s">
        <v>396</v>
      </c>
      <c r="L46" s="20"/>
      <c r="M46" s="20" t="s">
        <v>400</v>
      </c>
      <c r="N46" s="49">
        <v>2603986</v>
      </c>
      <c r="O46" s="49">
        <v>2603985.94</v>
      </c>
      <c r="P46" s="49">
        <v>2883500</v>
      </c>
      <c r="Q46" s="49">
        <v>2883500</v>
      </c>
      <c r="R46" s="49">
        <v>2883500</v>
      </c>
      <c r="S46" s="49">
        <v>2883500</v>
      </c>
    </row>
    <row r="47" spans="1:19" ht="28.5" x14ac:dyDescent="0.25">
      <c r="A47" s="141"/>
      <c r="B47" s="36" t="s">
        <v>83</v>
      </c>
      <c r="C47" s="141">
        <v>902</v>
      </c>
      <c r="D47" s="142"/>
      <c r="E47" s="36"/>
      <c r="F47" s="36"/>
      <c r="G47" s="36"/>
      <c r="H47" s="36"/>
      <c r="I47" s="36"/>
      <c r="J47" s="36"/>
      <c r="K47" s="36"/>
      <c r="L47" s="36"/>
      <c r="M47" s="36"/>
      <c r="N47" s="143">
        <f t="shared" ref="N47:S47" si="6">N48+N60+N56</f>
        <v>154683511.47</v>
      </c>
      <c r="O47" s="143">
        <f t="shared" si="6"/>
        <v>154680983.44</v>
      </c>
      <c r="P47" s="143">
        <f t="shared" si="6"/>
        <v>142597629</v>
      </c>
      <c r="Q47" s="143">
        <f t="shared" si="6"/>
        <v>141252029</v>
      </c>
      <c r="R47" s="143">
        <f t="shared" si="6"/>
        <v>117224329</v>
      </c>
      <c r="S47" s="143">
        <f t="shared" si="6"/>
        <v>117224329</v>
      </c>
    </row>
    <row r="48" spans="1:19" s="70" customFormat="1" ht="57" x14ac:dyDescent="0.2">
      <c r="A48" s="83">
        <v>2500</v>
      </c>
      <c r="B48" s="84" t="s">
        <v>437</v>
      </c>
      <c r="C48" s="131"/>
      <c r="D48" s="144"/>
      <c r="E48" s="35"/>
      <c r="F48" s="35"/>
      <c r="G48" s="35"/>
      <c r="H48" s="35"/>
      <c r="I48" s="35"/>
      <c r="J48" s="35"/>
      <c r="K48" s="35"/>
      <c r="L48" s="35"/>
      <c r="M48" s="35"/>
      <c r="N48" s="134">
        <f t="shared" ref="N48:S48" si="7">N49+N53+N54</f>
        <v>7946688.0599999996</v>
      </c>
      <c r="O48" s="134">
        <f t="shared" si="7"/>
        <v>7946688.0599999996</v>
      </c>
      <c r="P48" s="134">
        <f t="shared" si="7"/>
        <v>8004000</v>
      </c>
      <c r="Q48" s="134">
        <f t="shared" si="7"/>
        <v>6661000</v>
      </c>
      <c r="R48" s="134">
        <f t="shared" si="7"/>
        <v>6771000</v>
      </c>
      <c r="S48" s="134">
        <f t="shared" si="7"/>
        <v>6771000</v>
      </c>
    </row>
    <row r="49" spans="1:19" ht="225" x14ac:dyDescent="0.25">
      <c r="A49" s="87">
        <v>2504</v>
      </c>
      <c r="B49" s="88" t="s">
        <v>84</v>
      </c>
      <c r="C49" s="87">
        <v>902</v>
      </c>
      <c r="D49" s="89" t="s">
        <v>34</v>
      </c>
      <c r="E49" s="20" t="s">
        <v>20</v>
      </c>
      <c r="F49" s="20" t="s">
        <v>88</v>
      </c>
      <c r="G49" s="20" t="s">
        <v>85</v>
      </c>
      <c r="H49" s="20" t="s">
        <v>95</v>
      </c>
      <c r="I49" s="20" t="s">
        <v>48</v>
      </c>
      <c r="J49" s="20" t="s">
        <v>26</v>
      </c>
      <c r="K49" s="20" t="s">
        <v>371</v>
      </c>
      <c r="L49" s="20"/>
      <c r="M49" s="20" t="s">
        <v>100</v>
      </c>
      <c r="N49" s="55">
        <f>548307.89+143500</f>
        <v>691807.89</v>
      </c>
      <c r="O49" s="55">
        <f>548307.89+143500</f>
        <v>691807.89</v>
      </c>
      <c r="P49" s="55">
        <f>355000+145000</f>
        <v>500000</v>
      </c>
      <c r="Q49" s="55">
        <f>355000+145000</f>
        <v>500000</v>
      </c>
      <c r="R49" s="55">
        <f>355000+255000</f>
        <v>610000</v>
      </c>
      <c r="S49" s="55">
        <v>610000</v>
      </c>
    </row>
    <row r="50" spans="1:19" ht="90" x14ac:dyDescent="0.25">
      <c r="A50" s="90"/>
      <c r="B50" s="91"/>
      <c r="C50" s="90"/>
      <c r="D50" s="103"/>
      <c r="E50" s="20" t="s">
        <v>86</v>
      </c>
      <c r="F50" s="20" t="s">
        <v>87</v>
      </c>
      <c r="G50" s="20" t="s">
        <v>89</v>
      </c>
      <c r="H50" s="20" t="s">
        <v>96</v>
      </c>
      <c r="I50" s="20" t="s">
        <v>48</v>
      </c>
      <c r="J50" s="20" t="s">
        <v>97</v>
      </c>
      <c r="K50" s="20" t="s">
        <v>101</v>
      </c>
      <c r="L50" s="20"/>
      <c r="M50" s="20" t="s">
        <v>102</v>
      </c>
      <c r="N50" s="62"/>
      <c r="O50" s="62"/>
      <c r="P50" s="62"/>
      <c r="Q50" s="62"/>
      <c r="R50" s="62"/>
      <c r="S50" s="62"/>
    </row>
    <row r="51" spans="1:19" ht="180" x14ac:dyDescent="0.25">
      <c r="A51" s="90"/>
      <c r="B51" s="91"/>
      <c r="C51" s="90"/>
      <c r="D51" s="103"/>
      <c r="E51" s="20" t="s">
        <v>90</v>
      </c>
      <c r="F51" s="20" t="s">
        <v>91</v>
      </c>
      <c r="G51" s="20" t="s">
        <v>92</v>
      </c>
      <c r="H51" s="20" t="s">
        <v>98</v>
      </c>
      <c r="I51" s="20" t="s">
        <v>48</v>
      </c>
      <c r="J51" s="20" t="s">
        <v>99</v>
      </c>
      <c r="K51" s="20" t="s">
        <v>103</v>
      </c>
      <c r="L51" s="20"/>
      <c r="M51" s="20" t="s">
        <v>104</v>
      </c>
      <c r="N51" s="62"/>
      <c r="O51" s="62"/>
      <c r="P51" s="62"/>
      <c r="Q51" s="62"/>
      <c r="R51" s="62"/>
      <c r="S51" s="62"/>
    </row>
    <row r="52" spans="1:19" ht="229.5" customHeight="1" x14ac:dyDescent="0.25">
      <c r="A52" s="92"/>
      <c r="B52" s="94"/>
      <c r="C52" s="92"/>
      <c r="D52" s="93"/>
      <c r="E52" s="20" t="s">
        <v>93</v>
      </c>
      <c r="F52" s="20" t="s">
        <v>48</v>
      </c>
      <c r="G52" s="20" t="s">
        <v>94</v>
      </c>
      <c r="H52" s="20" t="s">
        <v>27</v>
      </c>
      <c r="I52" s="115" t="s">
        <v>48</v>
      </c>
      <c r="J52" s="20" t="s">
        <v>28</v>
      </c>
      <c r="K52" s="20" t="s">
        <v>29</v>
      </c>
      <c r="L52" s="20" t="s">
        <v>105</v>
      </c>
      <c r="M52" s="20" t="s">
        <v>30</v>
      </c>
      <c r="N52" s="56"/>
      <c r="O52" s="56"/>
      <c r="P52" s="56"/>
      <c r="Q52" s="56"/>
      <c r="R52" s="56"/>
      <c r="S52" s="56"/>
    </row>
    <row r="53" spans="1:19" ht="135" x14ac:dyDescent="0.25">
      <c r="A53" s="136">
        <v>2508</v>
      </c>
      <c r="B53" s="20" t="s">
        <v>38</v>
      </c>
      <c r="C53" s="136">
        <v>902</v>
      </c>
      <c r="D53" s="137" t="s">
        <v>106</v>
      </c>
      <c r="E53" s="20" t="s">
        <v>20</v>
      </c>
      <c r="F53" s="20" t="s">
        <v>107</v>
      </c>
      <c r="G53" s="20" t="s">
        <v>85</v>
      </c>
      <c r="H53" s="20"/>
      <c r="I53" s="20"/>
      <c r="J53" s="20"/>
      <c r="K53" s="20" t="s">
        <v>29</v>
      </c>
      <c r="L53" s="20" t="s">
        <v>108</v>
      </c>
      <c r="M53" s="20" t="s">
        <v>30</v>
      </c>
      <c r="N53" s="135">
        <v>6544880.1699999999</v>
      </c>
      <c r="O53" s="135">
        <v>6544880.1699999999</v>
      </c>
      <c r="P53" s="135">
        <v>6104000</v>
      </c>
      <c r="Q53" s="135">
        <v>6104000</v>
      </c>
      <c r="R53" s="135">
        <v>6104000</v>
      </c>
      <c r="S53" s="135">
        <v>6104000</v>
      </c>
    </row>
    <row r="54" spans="1:19" ht="409.5" customHeight="1" x14ac:dyDescent="0.25">
      <c r="A54" s="87">
        <v>2544</v>
      </c>
      <c r="B54" s="88" t="s">
        <v>492</v>
      </c>
      <c r="C54" s="87">
        <v>902</v>
      </c>
      <c r="D54" s="89" t="s">
        <v>110</v>
      </c>
      <c r="E54" s="20" t="s">
        <v>20</v>
      </c>
      <c r="F54" s="20" t="s">
        <v>111</v>
      </c>
      <c r="G54" s="20" t="s">
        <v>85</v>
      </c>
      <c r="H54" s="20" t="s">
        <v>112</v>
      </c>
      <c r="I54" s="20" t="s">
        <v>113</v>
      </c>
      <c r="J54" s="20" t="s">
        <v>114</v>
      </c>
      <c r="K54" s="20" t="s">
        <v>29</v>
      </c>
      <c r="L54" s="20"/>
      <c r="M54" s="20" t="s">
        <v>37</v>
      </c>
      <c r="N54" s="55">
        <f>710000</f>
        <v>710000</v>
      </c>
      <c r="O54" s="55">
        <v>710000</v>
      </c>
      <c r="P54" s="55">
        <v>1400000</v>
      </c>
      <c r="Q54" s="55">
        <v>57000</v>
      </c>
      <c r="R54" s="55">
        <v>57000</v>
      </c>
      <c r="S54" s="55">
        <v>57000</v>
      </c>
    </row>
    <row r="55" spans="1:19" ht="409.5" customHeight="1" x14ac:dyDescent="0.25">
      <c r="A55" s="92"/>
      <c r="B55" s="94"/>
      <c r="C55" s="92"/>
      <c r="D55" s="93"/>
      <c r="E55" s="20"/>
      <c r="F55" s="20"/>
      <c r="G55" s="20"/>
      <c r="H55" s="20"/>
      <c r="I55" s="20"/>
      <c r="J55" s="20"/>
      <c r="K55" s="20" t="s">
        <v>115</v>
      </c>
      <c r="L55" s="20"/>
      <c r="M55" s="20" t="s">
        <v>116</v>
      </c>
      <c r="N55" s="56"/>
      <c r="O55" s="56"/>
      <c r="P55" s="56"/>
      <c r="Q55" s="56"/>
      <c r="R55" s="56"/>
      <c r="S55" s="56"/>
    </row>
    <row r="56" spans="1:19" s="70" customFormat="1" ht="114" x14ac:dyDescent="0.2">
      <c r="A56" s="108">
        <v>2600</v>
      </c>
      <c r="B56" s="35" t="s">
        <v>438</v>
      </c>
      <c r="C56" s="34"/>
      <c r="D56" s="34"/>
      <c r="E56" s="34"/>
      <c r="F56" s="34"/>
      <c r="G56" s="34"/>
      <c r="H56" s="34"/>
      <c r="I56" s="34"/>
      <c r="J56" s="34"/>
      <c r="K56" s="34"/>
      <c r="L56" s="34"/>
      <c r="M56" s="34"/>
      <c r="N56" s="109">
        <f t="shared" ref="N56:S56" si="8">N57</f>
        <v>20685482.940000001</v>
      </c>
      <c r="O56" s="109">
        <f t="shared" si="8"/>
        <v>20685482.940000001</v>
      </c>
      <c r="P56" s="109">
        <f t="shared" si="8"/>
        <v>19731329</v>
      </c>
      <c r="Q56" s="109">
        <f t="shared" si="8"/>
        <v>19731329</v>
      </c>
      <c r="R56" s="109">
        <f t="shared" si="8"/>
        <v>19731329</v>
      </c>
      <c r="S56" s="109">
        <f t="shared" si="8"/>
        <v>19731329</v>
      </c>
    </row>
    <row r="57" spans="1:19" ht="45" x14ac:dyDescent="0.25">
      <c r="A57" s="57" t="s">
        <v>431</v>
      </c>
      <c r="B57" s="88" t="s">
        <v>485</v>
      </c>
      <c r="C57" s="57">
        <v>902</v>
      </c>
      <c r="D57" s="89" t="s">
        <v>34</v>
      </c>
      <c r="E57" s="88" t="s">
        <v>20</v>
      </c>
      <c r="F57" s="88" t="s">
        <v>315</v>
      </c>
      <c r="G57" s="87" t="s">
        <v>21</v>
      </c>
      <c r="H57" s="88" t="s">
        <v>24</v>
      </c>
      <c r="I57" s="145" t="s">
        <v>48</v>
      </c>
      <c r="J57" s="87" t="s">
        <v>26</v>
      </c>
      <c r="K57" s="20" t="s">
        <v>29</v>
      </c>
      <c r="L57" s="111"/>
      <c r="M57" s="20" t="s">
        <v>30</v>
      </c>
      <c r="N57" s="112">
        <f>13744981.91+6907951.03+32550</f>
        <v>20685482.940000001</v>
      </c>
      <c r="O57" s="112">
        <f>6907951.03+32550+13744981.91</f>
        <v>20685482.940000001</v>
      </c>
      <c r="P57" s="112">
        <f>15388329+4343000</f>
        <v>19731329</v>
      </c>
      <c r="Q57" s="113">
        <f>15388329+4343000</f>
        <v>19731329</v>
      </c>
      <c r="R57" s="112">
        <f>15388329+4343000</f>
        <v>19731329</v>
      </c>
      <c r="S57" s="112">
        <v>19731329</v>
      </c>
    </row>
    <row r="58" spans="1:19" ht="45" x14ac:dyDescent="0.25">
      <c r="A58" s="58"/>
      <c r="B58" s="91"/>
      <c r="C58" s="58"/>
      <c r="D58" s="103"/>
      <c r="E58" s="94"/>
      <c r="F58" s="94"/>
      <c r="G58" s="92"/>
      <c r="H58" s="94"/>
      <c r="I58" s="146"/>
      <c r="J58" s="92"/>
      <c r="K58" s="20" t="s">
        <v>103</v>
      </c>
      <c r="L58" s="20"/>
      <c r="M58" s="20" t="s">
        <v>104</v>
      </c>
      <c r="N58" s="116"/>
      <c r="O58" s="116"/>
      <c r="P58" s="116"/>
      <c r="Q58" s="147"/>
      <c r="R58" s="116"/>
      <c r="S58" s="116"/>
    </row>
    <row r="59" spans="1:19" ht="229.5" customHeight="1" x14ac:dyDescent="0.25">
      <c r="A59" s="58"/>
      <c r="B59" s="91"/>
      <c r="C59" s="58"/>
      <c r="D59" s="103"/>
      <c r="E59" s="42" t="s">
        <v>22</v>
      </c>
      <c r="F59" s="114" t="s">
        <v>48</v>
      </c>
      <c r="G59" s="42" t="s">
        <v>23</v>
      </c>
      <c r="H59" s="20" t="s">
        <v>27</v>
      </c>
      <c r="I59" s="115" t="s">
        <v>48</v>
      </c>
      <c r="J59" s="20" t="s">
        <v>28</v>
      </c>
      <c r="K59" s="20" t="s">
        <v>101</v>
      </c>
      <c r="L59" s="20"/>
      <c r="M59" s="20" t="s">
        <v>102</v>
      </c>
      <c r="N59" s="116"/>
      <c r="O59" s="116"/>
      <c r="P59" s="117"/>
      <c r="Q59" s="118"/>
      <c r="R59" s="116"/>
      <c r="S59" s="116"/>
    </row>
    <row r="60" spans="1:19" s="70" customFormat="1" ht="42.75" x14ac:dyDescent="0.2">
      <c r="A60" s="131">
        <v>3200</v>
      </c>
      <c r="B60" s="35" t="s">
        <v>488</v>
      </c>
      <c r="C60" s="131"/>
      <c r="D60" s="144"/>
      <c r="E60" s="35"/>
      <c r="F60" s="35"/>
      <c r="G60" s="35"/>
      <c r="H60" s="35"/>
      <c r="I60" s="35"/>
      <c r="J60" s="35"/>
      <c r="K60" s="35"/>
      <c r="L60" s="35"/>
      <c r="M60" s="35"/>
      <c r="N60" s="134">
        <f t="shared" ref="N60:S60" si="9">N61</f>
        <v>126051340.47</v>
      </c>
      <c r="O60" s="134">
        <f t="shared" si="9"/>
        <v>126048812.44</v>
      </c>
      <c r="P60" s="134">
        <f>P61</f>
        <v>114862300</v>
      </c>
      <c r="Q60" s="134">
        <f t="shared" si="9"/>
        <v>114859700</v>
      </c>
      <c r="R60" s="134">
        <f t="shared" si="9"/>
        <v>90722000</v>
      </c>
      <c r="S60" s="134">
        <f t="shared" si="9"/>
        <v>90722000</v>
      </c>
    </row>
    <row r="61" spans="1:19" ht="239.25" customHeight="1" x14ac:dyDescent="0.25">
      <c r="A61" s="87">
        <v>3237</v>
      </c>
      <c r="B61" s="88" t="s">
        <v>341</v>
      </c>
      <c r="C61" s="87">
        <v>902</v>
      </c>
      <c r="D61" s="89" t="s">
        <v>117</v>
      </c>
      <c r="E61" s="20" t="s">
        <v>571</v>
      </c>
      <c r="F61" s="20" t="s">
        <v>579</v>
      </c>
      <c r="G61" s="20" t="s">
        <v>574</v>
      </c>
      <c r="H61" s="20" t="s">
        <v>118</v>
      </c>
      <c r="I61" s="20" t="s">
        <v>48</v>
      </c>
      <c r="J61" s="20" t="s">
        <v>119</v>
      </c>
      <c r="K61" s="20" t="s">
        <v>465</v>
      </c>
      <c r="L61" s="20"/>
      <c r="M61" s="20" t="s">
        <v>466</v>
      </c>
      <c r="N61" s="55">
        <f>2959340.47+123092000</f>
        <v>126051340.47</v>
      </c>
      <c r="O61" s="55">
        <f>123092000+2956812.44</f>
        <v>126048812.44</v>
      </c>
      <c r="P61" s="55">
        <f>2078400+112783900</f>
        <v>114862300</v>
      </c>
      <c r="Q61" s="55">
        <f>112783900+2075800</f>
        <v>114859700</v>
      </c>
      <c r="R61" s="55">
        <f>1722400+88999600</f>
        <v>90722000</v>
      </c>
      <c r="S61" s="55">
        <v>90722000</v>
      </c>
    </row>
    <row r="62" spans="1:19" ht="45" x14ac:dyDescent="0.25">
      <c r="A62" s="92"/>
      <c r="B62" s="94"/>
      <c r="C62" s="92"/>
      <c r="D62" s="93"/>
      <c r="E62" s="124"/>
      <c r="F62" s="20"/>
      <c r="G62" s="20"/>
      <c r="H62" s="20" t="s">
        <v>120</v>
      </c>
      <c r="I62" s="20" t="s">
        <v>121</v>
      </c>
      <c r="J62" s="20" t="s">
        <v>122</v>
      </c>
      <c r="K62" s="20"/>
      <c r="L62" s="20"/>
      <c r="M62" s="20"/>
      <c r="N62" s="56"/>
      <c r="O62" s="56"/>
      <c r="P62" s="56"/>
      <c r="Q62" s="56"/>
      <c r="R62" s="56"/>
      <c r="S62" s="56"/>
    </row>
    <row r="63" spans="1:19" s="70" customFormat="1" ht="28.5" x14ac:dyDescent="0.2">
      <c r="A63" s="141"/>
      <c r="B63" s="36" t="s">
        <v>123</v>
      </c>
      <c r="C63" s="141">
        <v>903</v>
      </c>
      <c r="D63" s="142"/>
      <c r="E63" s="36"/>
      <c r="F63" s="36"/>
      <c r="G63" s="36"/>
      <c r="H63" s="36"/>
      <c r="I63" s="36"/>
      <c r="J63" s="36"/>
      <c r="K63" s="36"/>
      <c r="L63" s="36"/>
      <c r="M63" s="36"/>
      <c r="N63" s="143">
        <f t="shared" ref="N63:S63" si="10">N64+N66</f>
        <v>23234680</v>
      </c>
      <c r="O63" s="143">
        <f t="shared" si="10"/>
        <v>23234618.739999998</v>
      </c>
      <c r="P63" s="143">
        <f t="shared" si="10"/>
        <v>27288372</v>
      </c>
      <c r="Q63" s="143">
        <f t="shared" si="10"/>
        <v>26944757</v>
      </c>
      <c r="R63" s="143">
        <f t="shared" si="10"/>
        <v>27124757</v>
      </c>
      <c r="S63" s="143">
        <f t="shared" si="10"/>
        <v>27124757</v>
      </c>
    </row>
    <row r="64" spans="1:19" s="70" customFormat="1" ht="57" x14ac:dyDescent="0.2">
      <c r="A64" s="83">
        <v>2500</v>
      </c>
      <c r="B64" s="84" t="s">
        <v>437</v>
      </c>
      <c r="C64" s="131"/>
      <c r="D64" s="144"/>
      <c r="E64" s="35"/>
      <c r="F64" s="35"/>
      <c r="G64" s="35"/>
      <c r="H64" s="35"/>
      <c r="I64" s="35"/>
      <c r="J64" s="35"/>
      <c r="K64" s="35"/>
      <c r="L64" s="35"/>
      <c r="M64" s="35"/>
      <c r="N64" s="134">
        <f t="shared" ref="N64:S64" si="11">N65</f>
        <v>0</v>
      </c>
      <c r="O64" s="134">
        <f t="shared" si="11"/>
        <v>0</v>
      </c>
      <c r="P64" s="134">
        <f t="shared" si="11"/>
        <v>180000</v>
      </c>
      <c r="Q64" s="134">
        <f t="shared" si="11"/>
        <v>0</v>
      </c>
      <c r="R64" s="134">
        <f t="shared" si="11"/>
        <v>0</v>
      </c>
      <c r="S64" s="134">
        <f t="shared" si="11"/>
        <v>0</v>
      </c>
    </row>
    <row r="65" spans="1:19" ht="135" x14ac:dyDescent="0.25">
      <c r="A65" s="136">
        <v>2508</v>
      </c>
      <c r="B65" s="20" t="s">
        <v>38</v>
      </c>
      <c r="C65" s="136">
        <v>903</v>
      </c>
      <c r="D65" s="137" t="s">
        <v>106</v>
      </c>
      <c r="E65" s="20" t="s">
        <v>20</v>
      </c>
      <c r="F65" s="20" t="s">
        <v>107</v>
      </c>
      <c r="G65" s="20" t="s">
        <v>85</v>
      </c>
      <c r="H65" s="20"/>
      <c r="I65" s="20"/>
      <c r="J65" s="20"/>
      <c r="K65" s="20" t="s">
        <v>29</v>
      </c>
      <c r="L65" s="20" t="s">
        <v>108</v>
      </c>
      <c r="M65" s="20" t="s">
        <v>30</v>
      </c>
      <c r="N65" s="135">
        <v>0</v>
      </c>
      <c r="O65" s="135">
        <v>0</v>
      </c>
      <c r="P65" s="135">
        <v>180000</v>
      </c>
      <c r="Q65" s="135">
        <v>0</v>
      </c>
      <c r="R65" s="135">
        <v>0</v>
      </c>
      <c r="S65" s="135">
        <v>0</v>
      </c>
    </row>
    <row r="66" spans="1:19" s="70" customFormat="1" ht="102.75" customHeight="1" x14ac:dyDescent="0.2">
      <c r="A66" s="131">
        <v>2600</v>
      </c>
      <c r="B66" s="35" t="s">
        <v>438</v>
      </c>
      <c r="C66" s="148"/>
      <c r="D66" s="149"/>
      <c r="E66" s="150"/>
      <c r="F66" s="150"/>
      <c r="G66" s="150"/>
      <c r="H66" s="151"/>
      <c r="I66" s="150"/>
      <c r="J66" s="150"/>
      <c r="K66" s="35"/>
      <c r="L66" s="35"/>
      <c r="M66" s="35"/>
      <c r="N66" s="152">
        <f t="shared" ref="N66:S66" si="12">N67+N71+N73</f>
        <v>23234680</v>
      </c>
      <c r="O66" s="152">
        <f t="shared" si="12"/>
        <v>23234618.739999998</v>
      </c>
      <c r="P66" s="152">
        <f t="shared" si="12"/>
        <v>27108372</v>
      </c>
      <c r="Q66" s="152">
        <f t="shared" si="12"/>
        <v>26944757</v>
      </c>
      <c r="R66" s="152">
        <f t="shared" si="12"/>
        <v>27124757</v>
      </c>
      <c r="S66" s="152">
        <f t="shared" si="12"/>
        <v>27124757</v>
      </c>
    </row>
    <row r="67" spans="1:19" ht="45" x14ac:dyDescent="0.25">
      <c r="A67" s="57" t="s">
        <v>430</v>
      </c>
      <c r="B67" s="88" t="s">
        <v>493</v>
      </c>
      <c r="C67" s="57">
        <v>903</v>
      </c>
      <c r="D67" s="89" t="s">
        <v>125</v>
      </c>
      <c r="E67" s="88" t="s">
        <v>20</v>
      </c>
      <c r="F67" s="88" t="s">
        <v>315</v>
      </c>
      <c r="G67" s="87" t="s">
        <v>21</v>
      </c>
      <c r="H67" s="88" t="s">
        <v>24</v>
      </c>
      <c r="I67" s="145" t="s">
        <v>48</v>
      </c>
      <c r="J67" s="87" t="s">
        <v>26</v>
      </c>
      <c r="K67" s="20" t="s">
        <v>29</v>
      </c>
      <c r="L67" s="111"/>
      <c r="M67" s="20" t="s">
        <v>30</v>
      </c>
      <c r="N67" s="55">
        <f>19321694+245300</f>
        <v>19566994</v>
      </c>
      <c r="O67" s="55">
        <v>19566933.969999999</v>
      </c>
      <c r="P67" s="55">
        <f>20908757+1500000+150000</f>
        <v>22558757</v>
      </c>
      <c r="Q67" s="55">
        <f>20908757+1500000</f>
        <v>22408757</v>
      </c>
      <c r="R67" s="55">
        <f>21088757+1500000</f>
        <v>22588757</v>
      </c>
      <c r="S67" s="55">
        <f>21088757+1500000</f>
        <v>22588757</v>
      </c>
    </row>
    <row r="68" spans="1:19" ht="60" x14ac:dyDescent="0.25">
      <c r="A68" s="58"/>
      <c r="B68" s="91"/>
      <c r="C68" s="58"/>
      <c r="D68" s="103"/>
      <c r="E68" s="94"/>
      <c r="F68" s="94"/>
      <c r="G68" s="92"/>
      <c r="H68" s="94"/>
      <c r="I68" s="146"/>
      <c r="J68" s="92"/>
      <c r="K68" s="20" t="s">
        <v>361</v>
      </c>
      <c r="L68" s="20"/>
      <c r="M68" s="20" t="s">
        <v>127</v>
      </c>
      <c r="N68" s="62"/>
      <c r="O68" s="62"/>
      <c r="P68" s="62"/>
      <c r="Q68" s="62"/>
      <c r="R68" s="62"/>
      <c r="S68" s="62"/>
    </row>
    <row r="69" spans="1:19" ht="99.75" customHeight="1" x14ac:dyDescent="0.25">
      <c r="A69" s="58"/>
      <c r="B69" s="91"/>
      <c r="C69" s="58"/>
      <c r="D69" s="103"/>
      <c r="E69" s="41" t="s">
        <v>22</v>
      </c>
      <c r="F69" s="153" t="s">
        <v>48</v>
      </c>
      <c r="G69" s="41" t="s">
        <v>23</v>
      </c>
      <c r="H69" s="88" t="s">
        <v>27</v>
      </c>
      <c r="I69" s="15" t="s">
        <v>48</v>
      </c>
      <c r="J69" s="99" t="s">
        <v>28</v>
      </c>
      <c r="K69" s="20" t="s">
        <v>532</v>
      </c>
      <c r="L69" s="20"/>
      <c r="M69" s="20" t="s">
        <v>533</v>
      </c>
      <c r="N69" s="62"/>
      <c r="O69" s="62"/>
      <c r="P69" s="62"/>
      <c r="Q69" s="62"/>
      <c r="R69" s="62"/>
      <c r="S69" s="62"/>
    </row>
    <row r="70" spans="1:19" ht="133.5" customHeight="1" x14ac:dyDescent="0.25">
      <c r="A70" s="44"/>
      <c r="B70" s="98"/>
      <c r="C70" s="44"/>
      <c r="D70" s="97"/>
      <c r="E70" s="41"/>
      <c r="F70" s="153"/>
      <c r="G70" s="41"/>
      <c r="H70" s="154"/>
      <c r="I70" s="15"/>
      <c r="J70" s="99"/>
      <c r="K70" s="20"/>
      <c r="L70" s="20"/>
      <c r="M70" s="20"/>
      <c r="N70" s="52"/>
      <c r="O70" s="52"/>
      <c r="P70" s="52"/>
      <c r="Q70" s="52"/>
      <c r="R70" s="52"/>
      <c r="S70" s="52"/>
    </row>
    <row r="71" spans="1:19" ht="60" x14ac:dyDescent="0.25">
      <c r="A71" s="138">
        <v>2604</v>
      </c>
      <c r="B71" s="99" t="s">
        <v>494</v>
      </c>
      <c r="C71" s="139">
        <v>903</v>
      </c>
      <c r="D71" s="89" t="s">
        <v>352</v>
      </c>
      <c r="E71" s="88" t="s">
        <v>20</v>
      </c>
      <c r="F71" s="88" t="s">
        <v>126</v>
      </c>
      <c r="G71" s="88" t="s">
        <v>85</v>
      </c>
      <c r="H71" s="87"/>
      <c r="I71" s="57"/>
      <c r="J71" s="87"/>
      <c r="K71" s="20" t="s">
        <v>29</v>
      </c>
      <c r="L71" s="20" t="s">
        <v>318</v>
      </c>
      <c r="M71" s="20" t="s">
        <v>30</v>
      </c>
      <c r="N71" s="55">
        <v>3535</v>
      </c>
      <c r="O71" s="55">
        <v>3534.25</v>
      </c>
      <c r="P71" s="55">
        <v>13615</v>
      </c>
      <c r="Q71" s="55">
        <v>0</v>
      </c>
      <c r="R71" s="55">
        <v>0</v>
      </c>
      <c r="S71" s="55">
        <v>0</v>
      </c>
    </row>
    <row r="72" spans="1:19" ht="75" x14ac:dyDescent="0.25">
      <c r="A72" s="123"/>
      <c r="B72" s="47"/>
      <c r="C72" s="92"/>
      <c r="D72" s="93"/>
      <c r="E72" s="94"/>
      <c r="F72" s="94"/>
      <c r="G72" s="94"/>
      <c r="H72" s="92"/>
      <c r="I72" s="155"/>
      <c r="J72" s="92"/>
      <c r="K72" s="20" t="s">
        <v>392</v>
      </c>
      <c r="L72" s="20"/>
      <c r="M72" s="20" t="s">
        <v>393</v>
      </c>
      <c r="N72" s="56"/>
      <c r="O72" s="56"/>
      <c r="P72" s="56"/>
      <c r="Q72" s="56"/>
      <c r="R72" s="56"/>
      <c r="S72" s="56"/>
    </row>
    <row r="73" spans="1:19" ht="120" x14ac:dyDescent="0.25">
      <c r="A73" s="156">
        <v>2623</v>
      </c>
      <c r="B73" s="157" t="s">
        <v>495</v>
      </c>
      <c r="C73" s="100">
        <v>903</v>
      </c>
      <c r="D73" s="124" t="s">
        <v>321</v>
      </c>
      <c r="E73" s="47" t="s">
        <v>20</v>
      </c>
      <c r="F73" s="47" t="s">
        <v>322</v>
      </c>
      <c r="G73" s="47" t="s">
        <v>85</v>
      </c>
      <c r="H73" s="47" t="s">
        <v>24</v>
      </c>
      <c r="I73" s="47" t="s">
        <v>279</v>
      </c>
      <c r="J73" s="47" t="s">
        <v>26</v>
      </c>
      <c r="K73" s="20" t="s">
        <v>323</v>
      </c>
      <c r="L73" s="20"/>
      <c r="M73" s="20" t="s">
        <v>394</v>
      </c>
      <c r="N73" s="55">
        <v>3664151</v>
      </c>
      <c r="O73" s="55">
        <v>3664150.52</v>
      </c>
      <c r="P73" s="55">
        <v>4536000</v>
      </c>
      <c r="Q73" s="55">
        <v>4536000</v>
      </c>
      <c r="R73" s="55">
        <v>4536000</v>
      </c>
      <c r="S73" s="55">
        <v>4536000</v>
      </c>
    </row>
    <row r="74" spans="1:19" ht="165" x14ac:dyDescent="0.25">
      <c r="A74" s="156"/>
      <c r="B74" s="157"/>
      <c r="C74" s="100"/>
      <c r="D74" s="124"/>
      <c r="E74" s="47"/>
      <c r="F74" s="47"/>
      <c r="G74" s="47"/>
      <c r="H74" s="158"/>
      <c r="I74" s="47"/>
      <c r="J74" s="47"/>
      <c r="K74" s="20" t="s">
        <v>592</v>
      </c>
      <c r="L74" s="20"/>
      <c r="M74" s="20" t="s">
        <v>602</v>
      </c>
      <c r="N74" s="62"/>
      <c r="O74" s="62"/>
      <c r="P74" s="62"/>
      <c r="Q74" s="62"/>
      <c r="R74" s="62"/>
      <c r="S74" s="62"/>
    </row>
    <row r="75" spans="1:19" ht="120" x14ac:dyDescent="0.25">
      <c r="A75" s="123"/>
      <c r="B75" s="47"/>
      <c r="C75" s="123"/>
      <c r="D75" s="124"/>
      <c r="E75" s="47"/>
      <c r="F75" s="47"/>
      <c r="G75" s="47"/>
      <c r="H75" s="158"/>
      <c r="I75" s="159"/>
      <c r="J75" s="47"/>
      <c r="K75" s="20" t="s">
        <v>395</v>
      </c>
      <c r="L75" s="20"/>
      <c r="M75" s="20" t="s">
        <v>470</v>
      </c>
      <c r="N75" s="56"/>
      <c r="O75" s="56"/>
      <c r="P75" s="56"/>
      <c r="Q75" s="56"/>
      <c r="R75" s="56"/>
      <c r="S75" s="56"/>
    </row>
    <row r="76" spans="1:19" s="70" customFormat="1" ht="57" x14ac:dyDescent="0.2">
      <c r="A76" s="141"/>
      <c r="B76" s="36" t="s">
        <v>130</v>
      </c>
      <c r="C76" s="141">
        <v>904</v>
      </c>
      <c r="D76" s="142"/>
      <c r="E76" s="36"/>
      <c r="F76" s="36"/>
      <c r="G76" s="36"/>
      <c r="H76" s="36"/>
      <c r="I76" s="36"/>
      <c r="J76" s="36"/>
      <c r="K76" s="36"/>
      <c r="L76" s="36"/>
      <c r="M76" s="36"/>
      <c r="N76" s="143">
        <f t="shared" ref="N76:S76" si="13">N77</f>
        <v>51150982.310000002</v>
      </c>
      <c r="O76" s="143">
        <f t="shared" si="13"/>
        <v>50870849.409999996</v>
      </c>
      <c r="P76" s="143">
        <f t="shared" si="13"/>
        <v>54219718</v>
      </c>
      <c r="Q76" s="143">
        <f t="shared" si="13"/>
        <v>51219718</v>
      </c>
      <c r="R76" s="143">
        <f t="shared" si="13"/>
        <v>54219718</v>
      </c>
      <c r="S76" s="143">
        <f t="shared" si="13"/>
        <v>54219718</v>
      </c>
    </row>
    <row r="77" spans="1:19" s="70" customFormat="1" ht="57" x14ac:dyDescent="0.2">
      <c r="A77" s="83">
        <v>2500</v>
      </c>
      <c r="B77" s="84" t="s">
        <v>437</v>
      </c>
      <c r="C77" s="131">
        <v>904</v>
      </c>
      <c r="D77" s="144"/>
      <c r="E77" s="35"/>
      <c r="F77" s="35"/>
      <c r="G77" s="35"/>
      <c r="H77" s="35"/>
      <c r="I77" s="35"/>
      <c r="J77" s="35"/>
      <c r="K77" s="35"/>
      <c r="L77" s="35"/>
      <c r="M77" s="35"/>
      <c r="N77" s="134">
        <f t="shared" ref="N77:S77" si="14">N78+N82</f>
        <v>51150982.310000002</v>
      </c>
      <c r="O77" s="134">
        <f t="shared" si="14"/>
        <v>50870849.409999996</v>
      </c>
      <c r="P77" s="134">
        <f t="shared" si="14"/>
        <v>54219718</v>
      </c>
      <c r="Q77" s="134">
        <f t="shared" si="14"/>
        <v>51219718</v>
      </c>
      <c r="R77" s="134">
        <f t="shared" si="14"/>
        <v>54219718</v>
      </c>
      <c r="S77" s="134">
        <f t="shared" si="14"/>
        <v>54219718</v>
      </c>
    </row>
    <row r="78" spans="1:19" ht="120" x14ac:dyDescent="0.25">
      <c r="A78" s="87">
        <v>2517</v>
      </c>
      <c r="B78" s="88" t="s">
        <v>131</v>
      </c>
      <c r="C78" s="87">
        <v>904</v>
      </c>
      <c r="D78" s="89" t="s">
        <v>555</v>
      </c>
      <c r="E78" s="20" t="s">
        <v>132</v>
      </c>
      <c r="F78" s="20" t="s">
        <v>134</v>
      </c>
      <c r="G78" s="20" t="s">
        <v>135</v>
      </c>
      <c r="H78" s="20" t="s">
        <v>136</v>
      </c>
      <c r="I78" s="20" t="s">
        <v>46</v>
      </c>
      <c r="J78" s="20" t="s">
        <v>137</v>
      </c>
      <c r="K78" s="20" t="s">
        <v>141</v>
      </c>
      <c r="L78" s="20"/>
      <c r="M78" s="20" t="s">
        <v>536</v>
      </c>
      <c r="N78" s="55">
        <f>51150982.31-N82</f>
        <v>48373010.580000006</v>
      </c>
      <c r="O78" s="55">
        <f>50870849.41-O82</f>
        <v>48372925.029999994</v>
      </c>
      <c r="P78" s="55">
        <f>54219718-P82</f>
        <v>52219718</v>
      </c>
      <c r="Q78" s="55">
        <f>51219718-Q82</f>
        <v>49219718</v>
      </c>
      <c r="R78" s="55">
        <f>54219718-R82</f>
        <v>52219718</v>
      </c>
      <c r="S78" s="55">
        <v>52219718</v>
      </c>
    </row>
    <row r="79" spans="1:19" ht="153" customHeight="1" x14ac:dyDescent="0.25">
      <c r="A79" s="90"/>
      <c r="B79" s="91"/>
      <c r="C79" s="90"/>
      <c r="D79" s="103"/>
      <c r="E79" s="20"/>
      <c r="F79" s="20"/>
      <c r="G79" s="20"/>
      <c r="H79" s="20"/>
      <c r="I79" s="20"/>
      <c r="J79" s="20"/>
      <c r="K79" s="20" t="s">
        <v>534</v>
      </c>
      <c r="L79" s="20"/>
      <c r="M79" s="20" t="s">
        <v>537</v>
      </c>
      <c r="N79" s="62"/>
      <c r="O79" s="62"/>
      <c r="P79" s="62"/>
      <c r="Q79" s="62"/>
      <c r="R79" s="62"/>
      <c r="S79" s="62"/>
    </row>
    <row r="80" spans="1:19" ht="135" x14ac:dyDescent="0.25">
      <c r="A80" s="90"/>
      <c r="B80" s="91"/>
      <c r="C80" s="90"/>
      <c r="D80" s="103"/>
      <c r="E80" s="20"/>
      <c r="F80" s="20"/>
      <c r="G80" s="20"/>
      <c r="H80" s="20" t="s">
        <v>138</v>
      </c>
      <c r="I80" s="20" t="s">
        <v>139</v>
      </c>
      <c r="J80" s="20" t="s">
        <v>140</v>
      </c>
      <c r="K80" s="20" t="s">
        <v>462</v>
      </c>
      <c r="L80" s="20"/>
      <c r="M80" s="26" t="s">
        <v>463</v>
      </c>
      <c r="N80" s="62"/>
      <c r="O80" s="62"/>
      <c r="P80" s="62"/>
      <c r="Q80" s="62"/>
      <c r="R80" s="62"/>
      <c r="S80" s="62"/>
    </row>
    <row r="81" spans="1:19" ht="105" x14ac:dyDescent="0.25">
      <c r="A81" s="90"/>
      <c r="B81" s="91"/>
      <c r="C81" s="90"/>
      <c r="D81" s="103"/>
      <c r="E81" s="20"/>
      <c r="F81" s="20"/>
      <c r="G81" s="20"/>
      <c r="H81" s="20"/>
      <c r="I81" s="20"/>
      <c r="J81" s="20"/>
      <c r="K81" s="20" t="s">
        <v>142</v>
      </c>
      <c r="L81" s="20"/>
      <c r="M81" s="26">
        <v>41241</v>
      </c>
      <c r="N81" s="62"/>
      <c r="O81" s="62"/>
      <c r="P81" s="62"/>
      <c r="Q81" s="62"/>
      <c r="R81" s="62"/>
      <c r="S81" s="62"/>
    </row>
    <row r="82" spans="1:19" ht="45" x14ac:dyDescent="0.25">
      <c r="A82" s="87">
        <v>2520</v>
      </c>
      <c r="B82" s="88" t="s">
        <v>143</v>
      </c>
      <c r="C82" s="87">
        <v>904</v>
      </c>
      <c r="D82" s="89" t="s">
        <v>133</v>
      </c>
      <c r="E82" s="20" t="s">
        <v>144</v>
      </c>
      <c r="F82" s="20" t="s">
        <v>147</v>
      </c>
      <c r="G82" s="20" t="s">
        <v>145</v>
      </c>
      <c r="H82" s="87"/>
      <c r="I82" s="87"/>
      <c r="J82" s="87"/>
      <c r="K82" s="20" t="s">
        <v>29</v>
      </c>
      <c r="L82" s="20" t="s">
        <v>148</v>
      </c>
      <c r="M82" s="20" t="s">
        <v>30</v>
      </c>
      <c r="N82" s="55">
        <v>2777971.73</v>
      </c>
      <c r="O82" s="55">
        <v>2497924.38</v>
      </c>
      <c r="P82" s="55">
        <v>2000000</v>
      </c>
      <c r="Q82" s="55">
        <v>2000000</v>
      </c>
      <c r="R82" s="55">
        <v>2000000</v>
      </c>
      <c r="S82" s="55">
        <v>2000000</v>
      </c>
    </row>
    <row r="83" spans="1:19" ht="120" x14ac:dyDescent="0.25">
      <c r="A83" s="90"/>
      <c r="B83" s="91"/>
      <c r="C83" s="90"/>
      <c r="D83" s="103"/>
      <c r="E83" s="20" t="s">
        <v>20</v>
      </c>
      <c r="F83" s="20" t="s">
        <v>146</v>
      </c>
      <c r="G83" s="20" t="s">
        <v>85</v>
      </c>
      <c r="H83" s="90"/>
      <c r="I83" s="90"/>
      <c r="J83" s="90"/>
      <c r="K83" s="20" t="s">
        <v>425</v>
      </c>
      <c r="L83" s="20"/>
      <c r="M83" s="25" t="s">
        <v>426</v>
      </c>
      <c r="N83" s="62"/>
      <c r="O83" s="62"/>
      <c r="P83" s="62"/>
      <c r="Q83" s="62"/>
      <c r="R83" s="62"/>
      <c r="S83" s="62"/>
    </row>
    <row r="84" spans="1:19" ht="90" x14ac:dyDescent="0.25">
      <c r="A84" s="123"/>
      <c r="B84" s="47"/>
      <c r="C84" s="123"/>
      <c r="D84" s="124"/>
      <c r="E84" s="20"/>
      <c r="F84" s="20"/>
      <c r="G84" s="20"/>
      <c r="H84" s="123"/>
      <c r="I84" s="123"/>
      <c r="J84" s="123"/>
      <c r="K84" s="20" t="s">
        <v>372</v>
      </c>
      <c r="L84" s="20"/>
      <c r="M84" s="20" t="s">
        <v>373</v>
      </c>
      <c r="N84" s="49"/>
      <c r="O84" s="49"/>
      <c r="P84" s="49"/>
      <c r="Q84" s="49"/>
      <c r="R84" s="49"/>
      <c r="S84" s="49"/>
    </row>
    <row r="85" spans="1:19" ht="120" x14ac:dyDescent="0.25">
      <c r="A85" s="123"/>
      <c r="B85" s="47"/>
      <c r="C85" s="123"/>
      <c r="D85" s="124"/>
      <c r="E85" s="20"/>
      <c r="F85" s="20"/>
      <c r="G85" s="20"/>
      <c r="H85" s="123"/>
      <c r="I85" s="123"/>
      <c r="J85" s="123"/>
      <c r="K85" s="20" t="s">
        <v>549</v>
      </c>
      <c r="L85" s="20"/>
      <c r="M85" s="26" t="s">
        <v>550</v>
      </c>
      <c r="N85" s="49"/>
      <c r="O85" s="49"/>
      <c r="P85" s="49"/>
      <c r="Q85" s="49"/>
      <c r="R85" s="49"/>
      <c r="S85" s="49"/>
    </row>
    <row r="86" spans="1:19" ht="120" x14ac:dyDescent="0.25">
      <c r="A86" s="123"/>
      <c r="B86" s="47"/>
      <c r="C86" s="123"/>
      <c r="D86" s="124"/>
      <c r="E86" s="20"/>
      <c r="F86" s="20"/>
      <c r="G86" s="20"/>
      <c r="H86" s="123"/>
      <c r="I86" s="123"/>
      <c r="J86" s="123"/>
      <c r="K86" s="20" t="s">
        <v>551</v>
      </c>
      <c r="L86" s="20"/>
      <c r="M86" s="26" t="s">
        <v>552</v>
      </c>
      <c r="N86" s="49"/>
      <c r="O86" s="49"/>
      <c r="P86" s="49"/>
      <c r="Q86" s="49"/>
      <c r="R86" s="49"/>
      <c r="S86" s="49"/>
    </row>
    <row r="87" spans="1:19" ht="120" x14ac:dyDescent="0.25">
      <c r="A87" s="123"/>
      <c r="B87" s="47"/>
      <c r="C87" s="123"/>
      <c r="D87" s="124"/>
      <c r="E87" s="20"/>
      <c r="F87" s="20"/>
      <c r="G87" s="20"/>
      <c r="H87" s="123"/>
      <c r="I87" s="123"/>
      <c r="J87" s="123"/>
      <c r="K87" s="20" t="s">
        <v>548</v>
      </c>
      <c r="L87" s="20"/>
      <c r="M87" s="26" t="s">
        <v>541</v>
      </c>
      <c r="N87" s="49"/>
      <c r="O87" s="49"/>
      <c r="P87" s="49"/>
      <c r="Q87" s="49"/>
      <c r="R87" s="49"/>
      <c r="S87" s="49"/>
    </row>
    <row r="88" spans="1:19" s="70" customFormat="1" ht="28.5" x14ac:dyDescent="0.2">
      <c r="A88" s="141"/>
      <c r="B88" s="36" t="s">
        <v>149</v>
      </c>
      <c r="C88" s="141">
        <v>906</v>
      </c>
      <c r="D88" s="142"/>
      <c r="E88" s="36"/>
      <c r="F88" s="36"/>
      <c r="G88" s="36"/>
      <c r="H88" s="36"/>
      <c r="I88" s="36"/>
      <c r="J88" s="36"/>
      <c r="K88" s="36"/>
      <c r="L88" s="36"/>
      <c r="M88" s="36"/>
      <c r="N88" s="143">
        <f t="shared" ref="N88:S88" si="15">N89+N116+N112+N123</f>
        <v>2017013145.8699999</v>
      </c>
      <c r="O88" s="143">
        <f t="shared" si="15"/>
        <v>2003762304.26</v>
      </c>
      <c r="P88" s="143">
        <f t="shared" si="15"/>
        <v>2206682139</v>
      </c>
      <c r="Q88" s="143">
        <f t="shared" si="15"/>
        <v>2168585939</v>
      </c>
      <c r="R88" s="143">
        <f t="shared" si="15"/>
        <v>2151028739</v>
      </c>
      <c r="S88" s="143">
        <f t="shared" si="15"/>
        <v>2151028739</v>
      </c>
    </row>
    <row r="89" spans="1:19" s="70" customFormat="1" ht="57" x14ac:dyDescent="0.2">
      <c r="A89" s="33">
        <v>2500</v>
      </c>
      <c r="B89" s="160" t="s">
        <v>437</v>
      </c>
      <c r="C89" s="161"/>
      <c r="D89" s="144"/>
      <c r="E89" s="35"/>
      <c r="F89" s="35"/>
      <c r="G89" s="35"/>
      <c r="H89" s="35"/>
      <c r="I89" s="35"/>
      <c r="J89" s="35"/>
      <c r="K89" s="35"/>
      <c r="L89" s="35"/>
      <c r="M89" s="35"/>
      <c r="N89" s="134">
        <f t="shared" ref="N89:S89" si="16">N91+N110</f>
        <v>674188032.89999998</v>
      </c>
      <c r="O89" s="134">
        <f t="shared" si="16"/>
        <v>667348967.74000001</v>
      </c>
      <c r="P89" s="134">
        <f>P91+P110+P90</f>
        <v>756518162.66999996</v>
      </c>
      <c r="Q89" s="134">
        <f t="shared" si="16"/>
        <v>727385862.66999996</v>
      </c>
      <c r="R89" s="134">
        <f t="shared" si="16"/>
        <v>748885862.66999996</v>
      </c>
      <c r="S89" s="134">
        <f t="shared" si="16"/>
        <v>748885862.66999996</v>
      </c>
    </row>
    <row r="90" spans="1:19" s="70" customFormat="1" ht="90" x14ac:dyDescent="0.2">
      <c r="A90" s="162">
        <v>2502</v>
      </c>
      <c r="B90" s="163" t="s">
        <v>564</v>
      </c>
      <c r="C90" s="35"/>
      <c r="D90" s="144"/>
      <c r="E90" s="35"/>
      <c r="F90" s="35"/>
      <c r="G90" s="35"/>
      <c r="H90" s="35"/>
      <c r="I90" s="35"/>
      <c r="J90" s="35"/>
      <c r="K90" s="20" t="s">
        <v>29</v>
      </c>
      <c r="L90" s="20" t="s">
        <v>565</v>
      </c>
      <c r="M90" s="20" t="s">
        <v>37</v>
      </c>
      <c r="N90" s="134"/>
      <c r="O90" s="134"/>
      <c r="P90" s="135">
        <v>0</v>
      </c>
      <c r="Q90" s="134"/>
      <c r="R90" s="134"/>
      <c r="S90" s="134"/>
    </row>
    <row r="91" spans="1:19" ht="195" x14ac:dyDescent="0.25">
      <c r="A91" s="90" t="s">
        <v>496</v>
      </c>
      <c r="B91" s="91" t="s">
        <v>150</v>
      </c>
      <c r="C91" s="90">
        <v>906</v>
      </c>
      <c r="D91" s="103" t="s">
        <v>151</v>
      </c>
      <c r="E91" s="47" t="s">
        <v>20</v>
      </c>
      <c r="F91" s="47" t="s">
        <v>152</v>
      </c>
      <c r="G91" s="47" t="s">
        <v>85</v>
      </c>
      <c r="H91" s="47" t="s">
        <v>153</v>
      </c>
      <c r="I91" s="47" t="s">
        <v>113</v>
      </c>
      <c r="J91" s="47" t="s">
        <v>154</v>
      </c>
      <c r="K91" s="47" t="s">
        <v>376</v>
      </c>
      <c r="L91" s="47"/>
      <c r="M91" s="47" t="s">
        <v>377</v>
      </c>
      <c r="N91" s="62">
        <v>612298886.89999998</v>
      </c>
      <c r="O91" s="62">
        <v>605510955.57000005</v>
      </c>
      <c r="P91" s="62">
        <v>685561332.66999996</v>
      </c>
      <c r="Q91" s="62">
        <v>656429032.66999996</v>
      </c>
      <c r="R91" s="62">
        <v>677929032.66999996</v>
      </c>
      <c r="S91" s="62">
        <v>677929032.66999996</v>
      </c>
    </row>
    <row r="92" spans="1:19" ht="60" x14ac:dyDescent="0.25">
      <c r="A92" s="90"/>
      <c r="B92" s="91"/>
      <c r="C92" s="90"/>
      <c r="D92" s="103"/>
      <c r="E92" s="20"/>
      <c r="F92" s="20"/>
      <c r="G92" s="20"/>
      <c r="H92" s="20" t="s">
        <v>155</v>
      </c>
      <c r="I92" s="20" t="s">
        <v>48</v>
      </c>
      <c r="J92" s="20" t="s">
        <v>156</v>
      </c>
      <c r="K92" s="20" t="s">
        <v>29</v>
      </c>
      <c r="L92" s="20" t="s">
        <v>157</v>
      </c>
      <c r="M92" s="20" t="s">
        <v>30</v>
      </c>
      <c r="N92" s="62"/>
      <c r="O92" s="62"/>
      <c r="P92" s="62"/>
      <c r="Q92" s="62"/>
      <c r="R92" s="62"/>
      <c r="S92" s="62"/>
    </row>
    <row r="93" spans="1:19" ht="90" x14ac:dyDescent="0.25">
      <c r="A93" s="90"/>
      <c r="B93" s="91"/>
      <c r="C93" s="90"/>
      <c r="D93" s="103"/>
      <c r="E93" s="20"/>
      <c r="F93" s="20"/>
      <c r="G93" s="20"/>
      <c r="H93" s="20"/>
      <c r="I93" s="20"/>
      <c r="J93" s="20"/>
      <c r="K93" s="20" t="s">
        <v>160</v>
      </c>
      <c r="L93" s="20"/>
      <c r="M93" s="20" t="s">
        <v>161</v>
      </c>
      <c r="N93" s="62"/>
      <c r="O93" s="62"/>
      <c r="P93" s="62"/>
      <c r="Q93" s="62"/>
      <c r="R93" s="62"/>
      <c r="S93" s="62"/>
    </row>
    <row r="94" spans="1:19" ht="135" x14ac:dyDescent="0.25">
      <c r="A94" s="90"/>
      <c r="B94" s="91"/>
      <c r="C94" s="90"/>
      <c r="D94" s="103"/>
      <c r="E94" s="20"/>
      <c r="F94" s="20"/>
      <c r="G94" s="20"/>
      <c r="H94" s="20"/>
      <c r="I94" s="20"/>
      <c r="J94" s="20"/>
      <c r="K94" s="20" t="s">
        <v>158</v>
      </c>
      <c r="L94" s="20"/>
      <c r="M94" s="20" t="s">
        <v>159</v>
      </c>
      <c r="N94" s="62"/>
      <c r="O94" s="62"/>
      <c r="P94" s="62"/>
      <c r="Q94" s="62"/>
      <c r="R94" s="62"/>
      <c r="S94" s="62"/>
    </row>
    <row r="95" spans="1:19" ht="285" x14ac:dyDescent="0.25">
      <c r="A95" s="90"/>
      <c r="B95" s="91"/>
      <c r="C95" s="90"/>
      <c r="D95" s="103"/>
      <c r="E95" s="20"/>
      <c r="F95" s="20"/>
      <c r="G95" s="20"/>
      <c r="H95" s="20"/>
      <c r="I95" s="20"/>
      <c r="J95" s="20"/>
      <c r="K95" s="20" t="s">
        <v>325</v>
      </c>
      <c r="L95" s="20"/>
      <c r="M95" s="20" t="s">
        <v>326</v>
      </c>
      <c r="N95" s="62"/>
      <c r="O95" s="62"/>
      <c r="P95" s="62"/>
      <c r="Q95" s="62"/>
      <c r="R95" s="62"/>
      <c r="S95" s="62"/>
    </row>
    <row r="96" spans="1:19" ht="90" x14ac:dyDescent="0.25">
      <c r="A96" s="96"/>
      <c r="B96" s="98"/>
      <c r="C96" s="96"/>
      <c r="D96" s="97"/>
      <c r="E96" s="20"/>
      <c r="F96" s="20"/>
      <c r="G96" s="20"/>
      <c r="H96" s="20"/>
      <c r="I96" s="20"/>
      <c r="J96" s="20"/>
      <c r="K96" s="25" t="s">
        <v>399</v>
      </c>
      <c r="L96" s="25"/>
      <c r="M96" s="25" t="s">
        <v>401</v>
      </c>
      <c r="N96" s="52"/>
      <c r="O96" s="52"/>
      <c r="P96" s="52"/>
      <c r="Q96" s="52"/>
      <c r="R96" s="52"/>
      <c r="S96" s="52"/>
    </row>
    <row r="97" spans="1:19" ht="165" x14ac:dyDescent="0.25">
      <c r="A97" s="96"/>
      <c r="B97" s="98"/>
      <c r="C97" s="96"/>
      <c r="D97" s="97"/>
      <c r="E97" s="20"/>
      <c r="F97" s="20"/>
      <c r="G97" s="20"/>
      <c r="H97" s="20"/>
      <c r="I97" s="20"/>
      <c r="J97" s="20"/>
      <c r="K97" s="25" t="s">
        <v>416</v>
      </c>
      <c r="L97" s="25"/>
      <c r="M97" s="25" t="s">
        <v>417</v>
      </c>
      <c r="N97" s="52"/>
      <c r="O97" s="52"/>
      <c r="P97" s="52"/>
      <c r="Q97" s="52"/>
      <c r="R97" s="52"/>
      <c r="S97" s="52"/>
    </row>
    <row r="98" spans="1:19" ht="135" x14ac:dyDescent="0.25">
      <c r="A98" s="96"/>
      <c r="B98" s="98"/>
      <c r="C98" s="96"/>
      <c r="D98" s="97"/>
      <c r="E98" s="20"/>
      <c r="F98" s="20"/>
      <c r="G98" s="20"/>
      <c r="H98" s="20"/>
      <c r="I98" s="20"/>
      <c r="J98" s="20"/>
      <c r="K98" s="25" t="s">
        <v>402</v>
      </c>
      <c r="L98" s="25"/>
      <c r="M98" s="25" t="s">
        <v>603</v>
      </c>
      <c r="N98" s="52"/>
      <c r="O98" s="52"/>
      <c r="P98" s="52"/>
      <c r="Q98" s="52"/>
      <c r="R98" s="52"/>
      <c r="S98" s="52"/>
    </row>
    <row r="99" spans="1:19" ht="240" x14ac:dyDescent="0.25">
      <c r="A99" s="96"/>
      <c r="B99" s="98"/>
      <c r="C99" s="96"/>
      <c r="D99" s="97"/>
      <c r="E99" s="20"/>
      <c r="F99" s="20"/>
      <c r="G99" s="20"/>
      <c r="H99" s="20"/>
      <c r="I99" s="20"/>
      <c r="J99" s="20"/>
      <c r="K99" s="25" t="s">
        <v>403</v>
      </c>
      <c r="L99" s="25"/>
      <c r="M99" s="25" t="s">
        <v>406</v>
      </c>
      <c r="N99" s="52"/>
      <c r="O99" s="52"/>
      <c r="P99" s="52"/>
      <c r="Q99" s="52"/>
      <c r="R99" s="52"/>
      <c r="S99" s="52"/>
    </row>
    <row r="100" spans="1:19" ht="120" x14ac:dyDescent="0.25">
      <c r="A100" s="96"/>
      <c r="B100" s="164"/>
      <c r="C100" s="96"/>
      <c r="D100" s="97"/>
      <c r="E100" s="20"/>
      <c r="F100" s="20"/>
      <c r="G100" s="20"/>
      <c r="H100" s="20"/>
      <c r="I100" s="20"/>
      <c r="J100" s="20"/>
      <c r="K100" s="25" t="s">
        <v>404</v>
      </c>
      <c r="L100" s="25"/>
      <c r="M100" s="20" t="s">
        <v>405</v>
      </c>
      <c r="N100" s="52"/>
      <c r="O100" s="52"/>
      <c r="P100" s="52"/>
      <c r="Q100" s="52"/>
      <c r="R100" s="52"/>
      <c r="S100" s="52"/>
    </row>
    <row r="101" spans="1:19" ht="150" x14ac:dyDescent="0.25">
      <c r="A101" s="96"/>
      <c r="B101" s="98"/>
      <c r="C101" s="101"/>
      <c r="D101" s="97"/>
      <c r="E101" s="20"/>
      <c r="F101" s="20"/>
      <c r="G101" s="20"/>
      <c r="H101" s="20"/>
      <c r="I101" s="20"/>
      <c r="J101" s="20"/>
      <c r="K101" s="20" t="s">
        <v>381</v>
      </c>
      <c r="L101" s="20"/>
      <c r="M101" s="20" t="s">
        <v>382</v>
      </c>
      <c r="N101" s="49"/>
      <c r="O101" s="49"/>
      <c r="P101" s="49"/>
      <c r="Q101" s="49"/>
      <c r="R101" s="49"/>
      <c r="S101" s="49"/>
    </row>
    <row r="102" spans="1:19" ht="360" x14ac:dyDescent="0.25">
      <c r="A102" s="90"/>
      <c r="B102" s="98"/>
      <c r="C102" s="101"/>
      <c r="D102" s="97"/>
      <c r="E102" s="20"/>
      <c r="F102" s="20"/>
      <c r="G102" s="20"/>
      <c r="H102" s="20"/>
      <c r="I102" s="20"/>
      <c r="J102" s="20"/>
      <c r="K102" s="20" t="s">
        <v>418</v>
      </c>
      <c r="L102" s="20"/>
      <c r="M102" s="20" t="s">
        <v>561</v>
      </c>
      <c r="N102" s="49"/>
      <c r="O102" s="49"/>
      <c r="P102" s="49"/>
      <c r="Q102" s="49"/>
      <c r="R102" s="49"/>
      <c r="S102" s="49"/>
    </row>
    <row r="103" spans="1:19" ht="105" x14ac:dyDescent="0.25">
      <c r="A103" s="90"/>
      <c r="B103" s="98"/>
      <c r="C103" s="165"/>
      <c r="D103" s="97"/>
      <c r="E103" s="43"/>
      <c r="F103" s="20"/>
      <c r="G103" s="20"/>
      <c r="H103" s="20"/>
      <c r="I103" s="20"/>
      <c r="J103" s="20"/>
      <c r="K103" s="20" t="s">
        <v>516</v>
      </c>
      <c r="L103" s="20"/>
      <c r="M103" s="20" t="s">
        <v>517</v>
      </c>
      <c r="N103" s="52"/>
      <c r="O103" s="52"/>
      <c r="P103" s="52"/>
      <c r="Q103" s="52"/>
      <c r="R103" s="52"/>
      <c r="S103" s="52"/>
    </row>
    <row r="104" spans="1:19" ht="180" x14ac:dyDescent="0.25">
      <c r="A104" s="90"/>
      <c r="B104" s="98"/>
      <c r="C104" s="165"/>
      <c r="D104" s="97"/>
      <c r="E104" s="43"/>
      <c r="F104" s="20"/>
      <c r="G104" s="20"/>
      <c r="H104" s="20"/>
      <c r="I104" s="20"/>
      <c r="J104" s="20"/>
      <c r="K104" s="20" t="s">
        <v>519</v>
      </c>
      <c r="L104" s="20"/>
      <c r="M104" s="20" t="s">
        <v>521</v>
      </c>
      <c r="N104" s="52"/>
      <c r="O104" s="52"/>
      <c r="P104" s="52"/>
      <c r="Q104" s="52"/>
      <c r="R104" s="52"/>
      <c r="S104" s="52"/>
    </row>
    <row r="105" spans="1:19" ht="195" x14ac:dyDescent="0.25">
      <c r="A105" s="90"/>
      <c r="B105" s="98"/>
      <c r="C105" s="165"/>
      <c r="D105" s="97"/>
      <c r="E105" s="43"/>
      <c r="F105" s="20"/>
      <c r="G105" s="20"/>
      <c r="H105" s="20"/>
      <c r="I105" s="20"/>
      <c r="J105" s="20"/>
      <c r="K105" s="20" t="s">
        <v>558</v>
      </c>
      <c r="L105" s="20"/>
      <c r="M105" s="20" t="s">
        <v>559</v>
      </c>
      <c r="N105" s="52"/>
      <c r="O105" s="52"/>
      <c r="P105" s="52"/>
      <c r="Q105" s="52"/>
      <c r="R105" s="52"/>
      <c r="S105" s="52"/>
    </row>
    <row r="106" spans="1:19" ht="168.75" customHeight="1" x14ac:dyDescent="0.25">
      <c r="A106" s="90"/>
      <c r="B106" s="98"/>
      <c r="C106" s="165"/>
      <c r="D106" s="97"/>
      <c r="E106" s="43"/>
      <c r="F106" s="20"/>
      <c r="G106" s="20"/>
      <c r="H106" s="20"/>
      <c r="I106" s="20"/>
      <c r="J106" s="20"/>
      <c r="K106" s="20" t="s">
        <v>560</v>
      </c>
      <c r="L106" s="20"/>
      <c r="M106" s="20" t="s">
        <v>559</v>
      </c>
      <c r="N106" s="52"/>
      <c r="O106" s="52"/>
      <c r="P106" s="52"/>
      <c r="Q106" s="52"/>
      <c r="R106" s="52"/>
      <c r="S106" s="52"/>
    </row>
    <row r="107" spans="1:19" ht="195" x14ac:dyDescent="0.25">
      <c r="A107" s="90"/>
      <c r="B107" s="98"/>
      <c r="C107" s="165"/>
      <c r="D107" s="97"/>
      <c r="E107" s="43"/>
      <c r="F107" s="20"/>
      <c r="G107" s="20"/>
      <c r="H107" s="20"/>
      <c r="I107" s="20"/>
      <c r="J107" s="20"/>
      <c r="K107" s="20" t="s">
        <v>562</v>
      </c>
      <c r="L107" s="20"/>
      <c r="M107" s="20" t="s">
        <v>587</v>
      </c>
      <c r="N107" s="52"/>
      <c r="O107" s="52"/>
      <c r="P107" s="52"/>
      <c r="Q107" s="52"/>
      <c r="R107" s="52"/>
      <c r="S107" s="52"/>
    </row>
    <row r="108" spans="1:19" ht="180" x14ac:dyDescent="0.25">
      <c r="A108" s="90"/>
      <c r="B108" s="98"/>
      <c r="C108" s="165"/>
      <c r="D108" s="97"/>
      <c r="E108" s="43"/>
      <c r="F108" s="20"/>
      <c r="G108" s="20"/>
      <c r="H108" s="20"/>
      <c r="I108" s="20"/>
      <c r="J108" s="20"/>
      <c r="K108" s="20" t="s">
        <v>563</v>
      </c>
      <c r="L108" s="20"/>
      <c r="M108" s="20" t="s">
        <v>587</v>
      </c>
      <c r="N108" s="52"/>
      <c r="O108" s="52"/>
      <c r="P108" s="52"/>
      <c r="Q108" s="52"/>
      <c r="R108" s="52"/>
      <c r="S108" s="52"/>
    </row>
    <row r="109" spans="1:19" ht="195" x14ac:dyDescent="0.25">
      <c r="A109" s="92"/>
      <c r="B109" s="47"/>
      <c r="C109" s="165"/>
      <c r="D109" s="97"/>
      <c r="E109" s="43"/>
      <c r="F109" s="20"/>
      <c r="G109" s="20"/>
      <c r="H109" s="20"/>
      <c r="I109" s="20"/>
      <c r="J109" s="20"/>
      <c r="K109" s="20" t="s">
        <v>509</v>
      </c>
      <c r="L109" s="20"/>
      <c r="M109" s="20" t="s">
        <v>518</v>
      </c>
      <c r="N109" s="52"/>
      <c r="O109" s="52"/>
      <c r="P109" s="52"/>
      <c r="Q109" s="52"/>
      <c r="R109" s="52"/>
      <c r="S109" s="52"/>
    </row>
    <row r="110" spans="1:19" ht="218.25" customHeight="1" x14ac:dyDescent="0.25">
      <c r="A110" s="50">
        <v>2527</v>
      </c>
      <c r="B110" s="166" t="s">
        <v>436</v>
      </c>
      <c r="C110" s="167">
        <v>906</v>
      </c>
      <c r="D110" s="130" t="s">
        <v>185</v>
      </c>
      <c r="E110" s="43" t="s">
        <v>20</v>
      </c>
      <c r="F110" s="20" t="s">
        <v>316</v>
      </c>
      <c r="G110" s="20" t="s">
        <v>21</v>
      </c>
      <c r="H110" s="20"/>
      <c r="I110" s="20"/>
      <c r="J110" s="20"/>
      <c r="K110" s="20" t="s">
        <v>29</v>
      </c>
      <c r="L110" s="20"/>
      <c r="M110" s="20" t="s">
        <v>30</v>
      </c>
      <c r="N110" s="55">
        <v>61889146</v>
      </c>
      <c r="O110" s="55">
        <v>61838012.170000002</v>
      </c>
      <c r="P110" s="55">
        <v>70956830</v>
      </c>
      <c r="Q110" s="55">
        <v>70956830</v>
      </c>
      <c r="R110" s="55">
        <v>70956830</v>
      </c>
      <c r="S110" s="55">
        <v>70956830</v>
      </c>
    </row>
    <row r="111" spans="1:19" ht="138.75" customHeight="1" x14ac:dyDescent="0.25">
      <c r="A111" s="168"/>
      <c r="B111" s="169"/>
      <c r="C111" s="170"/>
      <c r="D111" s="124"/>
      <c r="E111" s="43"/>
      <c r="F111" s="20"/>
      <c r="G111" s="20"/>
      <c r="H111" s="20"/>
      <c r="I111" s="20"/>
      <c r="J111" s="20"/>
      <c r="K111" s="20" t="s">
        <v>362</v>
      </c>
      <c r="L111" s="20"/>
      <c r="M111" s="20" t="s">
        <v>363</v>
      </c>
      <c r="N111" s="56"/>
      <c r="O111" s="56"/>
      <c r="P111" s="56"/>
      <c r="Q111" s="56"/>
      <c r="R111" s="56"/>
      <c r="S111" s="56"/>
    </row>
    <row r="112" spans="1:19" s="70" customFormat="1" ht="114" x14ac:dyDescent="0.2">
      <c r="A112" s="131">
        <v>2600</v>
      </c>
      <c r="B112" s="35" t="s">
        <v>438</v>
      </c>
      <c r="C112" s="171"/>
      <c r="D112" s="172"/>
      <c r="E112" s="35"/>
      <c r="F112" s="35"/>
      <c r="G112" s="35"/>
      <c r="H112" s="35"/>
      <c r="I112" s="35"/>
      <c r="J112" s="35"/>
      <c r="K112" s="35"/>
      <c r="L112" s="35"/>
      <c r="M112" s="35"/>
      <c r="N112" s="134">
        <f t="shared" ref="N112:S112" si="17">N113+N115</f>
        <v>69967766.780000001</v>
      </c>
      <c r="O112" s="134">
        <f t="shared" si="17"/>
        <v>65596462.75</v>
      </c>
      <c r="P112" s="134">
        <f t="shared" si="17"/>
        <v>79256276.329999998</v>
      </c>
      <c r="Q112" s="134">
        <f t="shared" si="17"/>
        <v>78802076.329999998</v>
      </c>
      <c r="R112" s="134">
        <f t="shared" si="17"/>
        <v>39744876.329999998</v>
      </c>
      <c r="S112" s="134">
        <f t="shared" si="17"/>
        <v>39744876.329999998</v>
      </c>
    </row>
    <row r="113" spans="1:19" ht="90" x14ac:dyDescent="0.25">
      <c r="A113" s="173" t="s">
        <v>430</v>
      </c>
      <c r="B113" s="174" t="s">
        <v>493</v>
      </c>
      <c r="C113" s="167">
        <v>906</v>
      </c>
      <c r="D113" s="130" t="s">
        <v>185</v>
      </c>
      <c r="E113" s="43" t="s">
        <v>20</v>
      </c>
      <c r="F113" s="20" t="s">
        <v>315</v>
      </c>
      <c r="G113" s="20" t="s">
        <v>21</v>
      </c>
      <c r="H113" s="20" t="s">
        <v>24</v>
      </c>
      <c r="I113" s="20" t="s">
        <v>48</v>
      </c>
      <c r="J113" s="20" t="s">
        <v>26</v>
      </c>
      <c r="K113" s="20" t="s">
        <v>29</v>
      </c>
      <c r="L113" s="20"/>
      <c r="M113" s="20" t="s">
        <v>30</v>
      </c>
      <c r="N113" s="55">
        <f>9253654.36+33852</f>
        <v>9287506.3599999994</v>
      </c>
      <c r="O113" s="55">
        <f>33852+9170625.61</f>
        <v>9204477.6099999994</v>
      </c>
      <c r="P113" s="55">
        <v>12828749</v>
      </c>
      <c r="Q113" s="55">
        <v>12828749</v>
      </c>
      <c r="R113" s="55">
        <v>12828749</v>
      </c>
      <c r="S113" s="55">
        <v>12828749</v>
      </c>
    </row>
    <row r="114" spans="1:19" ht="285" x14ac:dyDescent="0.25">
      <c r="A114" s="175"/>
      <c r="B114" s="158"/>
      <c r="C114" s="156"/>
      <c r="D114" s="97"/>
      <c r="E114" s="43" t="s">
        <v>22</v>
      </c>
      <c r="F114" s="20" t="s">
        <v>48</v>
      </c>
      <c r="G114" s="20" t="s">
        <v>23</v>
      </c>
      <c r="H114" s="20" t="s">
        <v>27</v>
      </c>
      <c r="I114" s="115" t="s">
        <v>48</v>
      </c>
      <c r="J114" s="20" t="s">
        <v>28</v>
      </c>
      <c r="K114" s="20" t="s">
        <v>160</v>
      </c>
      <c r="L114" s="111"/>
      <c r="M114" s="20" t="s">
        <v>161</v>
      </c>
      <c r="N114" s="56"/>
      <c r="O114" s="56"/>
      <c r="P114" s="56"/>
      <c r="Q114" s="56"/>
      <c r="R114" s="56"/>
      <c r="S114" s="56"/>
    </row>
    <row r="115" spans="1:19" ht="409.5" x14ac:dyDescent="0.25">
      <c r="A115" s="136">
        <v>2624</v>
      </c>
      <c r="B115" s="20" t="s">
        <v>604</v>
      </c>
      <c r="C115" s="136">
        <v>906</v>
      </c>
      <c r="D115" s="137" t="s">
        <v>162</v>
      </c>
      <c r="E115" s="20" t="s">
        <v>571</v>
      </c>
      <c r="F115" s="20" t="s">
        <v>580</v>
      </c>
      <c r="G115" s="20" t="s">
        <v>574</v>
      </c>
      <c r="H115" s="20" t="s">
        <v>408</v>
      </c>
      <c r="I115" s="20" t="s">
        <v>198</v>
      </c>
      <c r="J115" s="20" t="s">
        <v>409</v>
      </c>
      <c r="K115" s="42" t="s">
        <v>410</v>
      </c>
      <c r="L115" s="111"/>
      <c r="M115" s="176" t="s">
        <v>411</v>
      </c>
      <c r="N115" s="48">
        <v>60680260.420000002</v>
      </c>
      <c r="O115" s="48">
        <v>56391985.140000001</v>
      </c>
      <c r="P115" s="48">
        <v>66427527.329999998</v>
      </c>
      <c r="Q115" s="48">
        <v>65973327.329999998</v>
      </c>
      <c r="R115" s="48">
        <v>26916127.329999998</v>
      </c>
      <c r="S115" s="48">
        <v>26916127.329999998</v>
      </c>
    </row>
    <row r="116" spans="1:19" s="70" customFormat="1" ht="42.75" x14ac:dyDescent="0.2">
      <c r="A116" s="131">
        <v>3200</v>
      </c>
      <c r="B116" s="35" t="s">
        <v>488</v>
      </c>
      <c r="C116" s="161"/>
      <c r="D116" s="144"/>
      <c r="E116" s="35"/>
      <c r="F116" s="35"/>
      <c r="G116" s="35"/>
      <c r="H116" s="35"/>
      <c r="I116" s="35"/>
      <c r="J116" s="35"/>
      <c r="K116" s="35"/>
      <c r="L116" s="35"/>
      <c r="M116" s="35"/>
      <c r="N116" s="134">
        <f t="shared" ref="N116:S116" si="18">SUM(N117:N122)</f>
        <v>71110015.689999998</v>
      </c>
      <c r="O116" s="134">
        <f t="shared" si="18"/>
        <v>69069543.270000011</v>
      </c>
      <c r="P116" s="134">
        <f t="shared" si="18"/>
        <v>54612400</v>
      </c>
      <c r="Q116" s="134">
        <f t="shared" si="18"/>
        <v>54612400</v>
      </c>
      <c r="R116" s="134">
        <f t="shared" si="18"/>
        <v>54612400</v>
      </c>
      <c r="S116" s="134">
        <f t="shared" si="18"/>
        <v>54612400</v>
      </c>
    </row>
    <row r="117" spans="1:19" ht="255" x14ac:dyDescent="0.25">
      <c r="A117" s="136">
        <v>3237</v>
      </c>
      <c r="B117" s="20" t="s">
        <v>167</v>
      </c>
      <c r="C117" s="136">
        <v>906</v>
      </c>
      <c r="D117" s="137" t="s">
        <v>162</v>
      </c>
      <c r="E117" s="20" t="s">
        <v>571</v>
      </c>
      <c r="F117" s="20" t="s">
        <v>589</v>
      </c>
      <c r="G117" s="20" t="s">
        <v>574</v>
      </c>
      <c r="H117" s="20" t="s">
        <v>168</v>
      </c>
      <c r="I117" s="20" t="s">
        <v>169</v>
      </c>
      <c r="J117" s="20" t="s">
        <v>170</v>
      </c>
      <c r="K117" s="20" t="s">
        <v>171</v>
      </c>
      <c r="L117" s="20"/>
      <c r="M117" s="20" t="s">
        <v>172</v>
      </c>
      <c r="N117" s="135">
        <v>32572208.210000001</v>
      </c>
      <c r="O117" s="135">
        <v>31110722.190000001</v>
      </c>
      <c r="P117" s="135">
        <v>5882200</v>
      </c>
      <c r="Q117" s="135">
        <v>5882200</v>
      </c>
      <c r="R117" s="135">
        <v>5882200</v>
      </c>
      <c r="S117" s="135">
        <v>5882200</v>
      </c>
    </row>
    <row r="118" spans="1:19" ht="90" x14ac:dyDescent="0.25">
      <c r="A118" s="136"/>
      <c r="B118" s="20"/>
      <c r="C118" s="136"/>
      <c r="D118" s="137"/>
      <c r="E118" s="20"/>
      <c r="F118" s="20"/>
      <c r="G118" s="20"/>
      <c r="H118" s="20"/>
      <c r="I118" s="20"/>
      <c r="J118" s="20"/>
      <c r="K118" s="37" t="s">
        <v>378</v>
      </c>
      <c r="L118" s="111"/>
      <c r="M118" s="42" t="s">
        <v>379</v>
      </c>
      <c r="N118" s="48"/>
      <c r="O118" s="48"/>
      <c r="P118" s="48"/>
      <c r="Q118" s="48"/>
      <c r="R118" s="48"/>
      <c r="S118" s="48"/>
    </row>
    <row r="119" spans="1:19" ht="405" x14ac:dyDescent="0.25">
      <c r="A119" s="136">
        <v>3236</v>
      </c>
      <c r="B119" s="20" t="s">
        <v>173</v>
      </c>
      <c r="C119" s="136">
        <v>906</v>
      </c>
      <c r="D119" s="137" t="s">
        <v>182</v>
      </c>
      <c r="E119" s="20" t="s">
        <v>571</v>
      </c>
      <c r="F119" s="20" t="s">
        <v>581</v>
      </c>
      <c r="G119" s="20" t="s">
        <v>574</v>
      </c>
      <c r="H119" s="20" t="s">
        <v>174</v>
      </c>
      <c r="I119" s="20" t="s">
        <v>169</v>
      </c>
      <c r="J119" s="20" t="s">
        <v>175</v>
      </c>
      <c r="K119" s="20" t="s">
        <v>176</v>
      </c>
      <c r="L119" s="20"/>
      <c r="M119" s="20" t="s">
        <v>177</v>
      </c>
      <c r="N119" s="49">
        <v>1961000</v>
      </c>
      <c r="O119" s="49">
        <v>1961000</v>
      </c>
      <c r="P119" s="49">
        <v>3189000</v>
      </c>
      <c r="Q119" s="49">
        <v>3189000</v>
      </c>
      <c r="R119" s="49">
        <v>3189000</v>
      </c>
      <c r="S119" s="49">
        <v>3189000</v>
      </c>
    </row>
    <row r="120" spans="1:19" ht="270" x14ac:dyDescent="0.25">
      <c r="A120" s="110">
        <v>3237</v>
      </c>
      <c r="B120" s="99" t="s">
        <v>178</v>
      </c>
      <c r="C120" s="110">
        <v>906</v>
      </c>
      <c r="D120" s="130" t="s">
        <v>117</v>
      </c>
      <c r="E120" s="20" t="s">
        <v>571</v>
      </c>
      <c r="F120" s="20" t="s">
        <v>582</v>
      </c>
      <c r="G120" s="20" t="s">
        <v>574</v>
      </c>
      <c r="H120" s="99" t="s">
        <v>179</v>
      </c>
      <c r="I120" s="99" t="s">
        <v>48</v>
      </c>
      <c r="J120" s="99" t="s">
        <v>180</v>
      </c>
      <c r="K120" s="20" t="s">
        <v>593</v>
      </c>
      <c r="L120" s="20"/>
      <c r="M120" s="20" t="s">
        <v>181</v>
      </c>
      <c r="N120" s="48">
        <v>4680000</v>
      </c>
      <c r="O120" s="48">
        <v>4591924.71</v>
      </c>
      <c r="P120" s="49">
        <v>5450600</v>
      </c>
      <c r="Q120" s="49">
        <v>5450600</v>
      </c>
      <c r="R120" s="49">
        <v>5450600</v>
      </c>
      <c r="S120" s="49">
        <v>5450600</v>
      </c>
    </row>
    <row r="121" spans="1:19" ht="210" x14ac:dyDescent="0.25">
      <c r="A121" s="136">
        <v>3237</v>
      </c>
      <c r="B121" s="20" t="s">
        <v>359</v>
      </c>
      <c r="C121" s="136">
        <v>906</v>
      </c>
      <c r="D121" s="137" t="s">
        <v>268</v>
      </c>
      <c r="E121" s="20" t="s">
        <v>571</v>
      </c>
      <c r="F121" s="20" t="s">
        <v>588</v>
      </c>
      <c r="G121" s="20" t="s">
        <v>574</v>
      </c>
      <c r="H121" s="136"/>
      <c r="I121" s="136"/>
      <c r="J121" s="136"/>
      <c r="K121" s="20" t="s">
        <v>383</v>
      </c>
      <c r="L121" s="20"/>
      <c r="M121" s="20" t="s">
        <v>384</v>
      </c>
      <c r="N121" s="135">
        <v>18915517.48</v>
      </c>
      <c r="O121" s="135">
        <v>18878349.190000001</v>
      </c>
      <c r="P121" s="135">
        <v>24045600</v>
      </c>
      <c r="Q121" s="135">
        <v>24045600</v>
      </c>
      <c r="R121" s="135">
        <v>24045600</v>
      </c>
      <c r="S121" s="135">
        <v>24045600</v>
      </c>
    </row>
    <row r="122" spans="1:19" ht="210" x14ac:dyDescent="0.25">
      <c r="A122" s="136">
        <v>3237</v>
      </c>
      <c r="B122" s="20" t="s">
        <v>342</v>
      </c>
      <c r="C122" s="136">
        <v>906</v>
      </c>
      <c r="D122" s="137" t="s">
        <v>185</v>
      </c>
      <c r="E122" s="20" t="s">
        <v>571</v>
      </c>
      <c r="F122" s="20" t="s">
        <v>578</v>
      </c>
      <c r="G122" s="20" t="s">
        <v>574</v>
      </c>
      <c r="H122" s="20" t="s">
        <v>186</v>
      </c>
      <c r="I122" s="20" t="s">
        <v>48</v>
      </c>
      <c r="J122" s="20" t="s">
        <v>28</v>
      </c>
      <c r="K122" s="20" t="s">
        <v>187</v>
      </c>
      <c r="L122" s="20"/>
      <c r="M122" s="20" t="s">
        <v>188</v>
      </c>
      <c r="N122" s="135">
        <v>12981290</v>
      </c>
      <c r="O122" s="135">
        <v>12527547.18</v>
      </c>
      <c r="P122" s="135">
        <v>16045000</v>
      </c>
      <c r="Q122" s="135">
        <v>16045000</v>
      </c>
      <c r="R122" s="135">
        <v>16045000</v>
      </c>
      <c r="S122" s="135">
        <v>16045000</v>
      </c>
    </row>
    <row r="123" spans="1:19" s="70" customFormat="1" ht="77.25" customHeight="1" x14ac:dyDescent="0.2">
      <c r="A123" s="133">
        <v>3400</v>
      </c>
      <c r="B123" s="132" t="s">
        <v>497</v>
      </c>
      <c r="C123" s="133"/>
      <c r="D123" s="172"/>
      <c r="E123" s="35"/>
      <c r="F123" s="35"/>
      <c r="G123" s="35"/>
      <c r="H123" s="132"/>
      <c r="I123" s="132"/>
      <c r="J123" s="132"/>
      <c r="K123" s="35"/>
      <c r="L123" s="35"/>
      <c r="M123" s="35"/>
      <c r="N123" s="177">
        <f t="shared" ref="N123:S123" si="19">N124+N126+N128</f>
        <v>1201747330.5</v>
      </c>
      <c r="O123" s="177">
        <f t="shared" si="19"/>
        <v>1201747330.5</v>
      </c>
      <c r="P123" s="177">
        <f t="shared" si="19"/>
        <v>1316295300</v>
      </c>
      <c r="Q123" s="177">
        <f t="shared" si="19"/>
        <v>1307785600</v>
      </c>
      <c r="R123" s="177">
        <f t="shared" si="19"/>
        <v>1307785600</v>
      </c>
      <c r="S123" s="177">
        <f t="shared" si="19"/>
        <v>1307785600</v>
      </c>
    </row>
    <row r="124" spans="1:19" ht="255" x14ac:dyDescent="0.25">
      <c r="A124" s="87">
        <v>3401</v>
      </c>
      <c r="B124" s="88" t="s">
        <v>605</v>
      </c>
      <c r="C124" s="87">
        <v>906</v>
      </c>
      <c r="D124" s="89" t="s">
        <v>162</v>
      </c>
      <c r="E124" s="20" t="s">
        <v>571</v>
      </c>
      <c r="F124" s="20" t="s">
        <v>582</v>
      </c>
      <c r="G124" s="20" t="s">
        <v>574</v>
      </c>
      <c r="H124" s="88"/>
      <c r="I124" s="88"/>
      <c r="J124" s="88"/>
      <c r="K124" s="20" t="s">
        <v>166</v>
      </c>
      <c r="L124" s="20"/>
      <c r="M124" s="20" t="s">
        <v>81</v>
      </c>
      <c r="N124" s="55">
        <f>127334800+523445268.64</f>
        <v>650780068.63999999</v>
      </c>
      <c r="O124" s="55">
        <f>127334800+523445268.64</f>
        <v>650780068.63999999</v>
      </c>
      <c r="P124" s="55">
        <f>140187600+564918500</f>
        <v>705106100</v>
      </c>
      <c r="Q124" s="55">
        <f>140187600+556408800</f>
        <v>696596400</v>
      </c>
      <c r="R124" s="55">
        <f>140187600+556408800</f>
        <v>696596400</v>
      </c>
      <c r="S124" s="55">
        <v>696596400</v>
      </c>
    </row>
    <row r="125" spans="1:19" ht="60" x14ac:dyDescent="0.25">
      <c r="A125" s="92"/>
      <c r="B125" s="94"/>
      <c r="C125" s="92"/>
      <c r="D125" s="93"/>
      <c r="E125" s="42" t="s">
        <v>163</v>
      </c>
      <c r="F125" s="20" t="s">
        <v>164</v>
      </c>
      <c r="G125" s="20" t="s">
        <v>165</v>
      </c>
      <c r="H125" s="94"/>
      <c r="I125" s="94"/>
      <c r="J125" s="94"/>
      <c r="K125" s="37"/>
      <c r="L125" s="111"/>
      <c r="M125" s="42"/>
      <c r="N125" s="56"/>
      <c r="O125" s="56"/>
      <c r="P125" s="56"/>
      <c r="Q125" s="56"/>
      <c r="R125" s="56"/>
      <c r="S125" s="56"/>
    </row>
    <row r="126" spans="1:19" ht="225" x14ac:dyDescent="0.25">
      <c r="A126" s="87">
        <v>3403</v>
      </c>
      <c r="B126" s="88" t="s">
        <v>606</v>
      </c>
      <c r="C126" s="87">
        <v>906</v>
      </c>
      <c r="D126" s="89" t="s">
        <v>182</v>
      </c>
      <c r="E126" s="20" t="s">
        <v>571</v>
      </c>
      <c r="F126" s="20" t="s">
        <v>582</v>
      </c>
      <c r="G126" s="20" t="s">
        <v>574</v>
      </c>
      <c r="H126" s="87"/>
      <c r="I126" s="87"/>
      <c r="J126" s="87"/>
      <c r="K126" s="20" t="s">
        <v>183</v>
      </c>
      <c r="L126" s="20"/>
      <c r="M126" s="20" t="s">
        <v>184</v>
      </c>
      <c r="N126" s="55">
        <f>164338891.86+357349276</f>
        <v>521688167.86000001</v>
      </c>
      <c r="O126" s="55">
        <f>164338891.86+357349276</f>
        <v>521688167.86000001</v>
      </c>
      <c r="P126" s="55">
        <f>193683900+382980700</f>
        <v>576664600</v>
      </c>
      <c r="Q126" s="55">
        <f>193683900+382980700</f>
        <v>576664600</v>
      </c>
      <c r="R126" s="55">
        <f>382980700+193683900</f>
        <v>576664600</v>
      </c>
      <c r="S126" s="55">
        <v>576664600</v>
      </c>
    </row>
    <row r="127" spans="1:19" ht="60" x14ac:dyDescent="0.25">
      <c r="A127" s="92"/>
      <c r="B127" s="94"/>
      <c r="C127" s="92"/>
      <c r="D127" s="93"/>
      <c r="E127" s="20" t="s">
        <v>163</v>
      </c>
      <c r="F127" s="20" t="s">
        <v>164</v>
      </c>
      <c r="G127" s="20" t="s">
        <v>165</v>
      </c>
      <c r="H127" s="92"/>
      <c r="I127" s="92"/>
      <c r="J127" s="92"/>
      <c r="K127" s="20"/>
      <c r="L127" s="20"/>
      <c r="M127" s="20"/>
      <c r="N127" s="56"/>
      <c r="O127" s="56"/>
      <c r="P127" s="56"/>
      <c r="Q127" s="56"/>
      <c r="R127" s="56"/>
      <c r="S127" s="56"/>
    </row>
    <row r="128" spans="1:19" ht="300" x14ac:dyDescent="0.25">
      <c r="A128" s="136">
        <v>3404</v>
      </c>
      <c r="B128" s="99" t="s">
        <v>435</v>
      </c>
      <c r="C128" s="136">
        <v>906</v>
      </c>
      <c r="D128" s="137" t="s">
        <v>266</v>
      </c>
      <c r="E128" s="20" t="s">
        <v>571</v>
      </c>
      <c r="F128" s="20" t="s">
        <v>582</v>
      </c>
      <c r="G128" s="20" t="s">
        <v>574</v>
      </c>
      <c r="H128" s="20"/>
      <c r="I128" s="20"/>
      <c r="J128" s="20"/>
      <c r="K128" s="20" t="s">
        <v>166</v>
      </c>
      <c r="L128" s="20"/>
      <c r="M128" s="20" t="s">
        <v>81</v>
      </c>
      <c r="N128" s="135">
        <v>29279094</v>
      </c>
      <c r="O128" s="135">
        <v>29279094</v>
      </c>
      <c r="P128" s="135">
        <v>34524600</v>
      </c>
      <c r="Q128" s="135">
        <v>34524600</v>
      </c>
      <c r="R128" s="135">
        <v>34524600</v>
      </c>
      <c r="S128" s="135">
        <v>34524600</v>
      </c>
    </row>
    <row r="129" spans="1:19" s="70" customFormat="1" ht="42.75" x14ac:dyDescent="0.2">
      <c r="A129" s="141"/>
      <c r="B129" s="36" t="s">
        <v>520</v>
      </c>
      <c r="C129" s="141">
        <v>909</v>
      </c>
      <c r="D129" s="142"/>
      <c r="E129" s="36"/>
      <c r="F129" s="36"/>
      <c r="G129" s="36"/>
      <c r="H129" s="36"/>
      <c r="I129" s="36"/>
      <c r="J129" s="36"/>
      <c r="K129" s="36"/>
      <c r="L129" s="36"/>
      <c r="M129" s="36"/>
      <c r="N129" s="143">
        <f t="shared" ref="N129:S129" si="20">N130+N157+N162</f>
        <v>735431582.30999994</v>
      </c>
      <c r="O129" s="143">
        <f t="shared" si="20"/>
        <v>721982165.35000002</v>
      </c>
      <c r="P129" s="143">
        <f t="shared" si="20"/>
        <v>396690827</v>
      </c>
      <c r="Q129" s="143">
        <f t="shared" si="20"/>
        <v>421927047</v>
      </c>
      <c r="R129" s="143">
        <f t="shared" si="20"/>
        <v>329754344</v>
      </c>
      <c r="S129" s="143">
        <f t="shared" si="20"/>
        <v>329754344</v>
      </c>
    </row>
    <row r="130" spans="1:19" s="70" customFormat="1" ht="57" x14ac:dyDescent="0.2">
      <c r="A130" s="33">
        <v>2500</v>
      </c>
      <c r="B130" s="160" t="s">
        <v>437</v>
      </c>
      <c r="C130" s="35"/>
      <c r="D130" s="144"/>
      <c r="E130" s="35"/>
      <c r="F130" s="35"/>
      <c r="G130" s="35"/>
      <c r="H130" s="35"/>
      <c r="I130" s="35"/>
      <c r="J130" s="35"/>
      <c r="K130" s="35"/>
      <c r="L130" s="35"/>
      <c r="M130" s="35"/>
      <c r="N130" s="134">
        <f>N132+N135+N139+N141+N143+N145+N147+N150+N153</f>
        <v>678674034.30999994</v>
      </c>
      <c r="O130" s="134">
        <f>O132+O135+O139+O141+O143+O145+O147+O150+O153</f>
        <v>670634774.42000008</v>
      </c>
      <c r="P130" s="134">
        <f>P132+P135+P139+P141+P143+P145+P147+P150+P153+P131</f>
        <v>325024922</v>
      </c>
      <c r="Q130" s="134">
        <f>Q132+Q135+Q139+Q141+Q143+Q145+Q147+Q150+Q153</f>
        <v>351143842</v>
      </c>
      <c r="R130" s="134">
        <f>R132+R135+R139+R141+R143+R145+R147+R150+R153</f>
        <v>258971139</v>
      </c>
      <c r="S130" s="134">
        <f>S132+S135+S139+S141+S143+S145+S147+S150+S153</f>
        <v>258971139</v>
      </c>
    </row>
    <row r="131" spans="1:19" s="70" customFormat="1" ht="90" x14ac:dyDescent="0.2">
      <c r="A131" s="178">
        <v>2502</v>
      </c>
      <c r="B131" s="179" t="s">
        <v>564</v>
      </c>
      <c r="C131" s="132"/>
      <c r="D131" s="172"/>
      <c r="E131" s="99" t="s">
        <v>20</v>
      </c>
      <c r="F131" s="99" t="s">
        <v>583</v>
      </c>
      <c r="G131" s="99" t="s">
        <v>85</v>
      </c>
      <c r="H131" s="132"/>
      <c r="I131" s="132"/>
      <c r="J131" s="132"/>
      <c r="K131" s="20" t="s">
        <v>29</v>
      </c>
      <c r="L131" s="20" t="s">
        <v>565</v>
      </c>
      <c r="M131" s="20" t="s">
        <v>37</v>
      </c>
      <c r="N131" s="177"/>
      <c r="O131" s="177"/>
      <c r="P131" s="48"/>
      <c r="Q131" s="177"/>
      <c r="R131" s="177"/>
      <c r="S131" s="177"/>
    </row>
    <row r="132" spans="1:19" ht="90" x14ac:dyDescent="0.25">
      <c r="A132" s="87">
        <v>2505</v>
      </c>
      <c r="B132" s="88" t="s">
        <v>192</v>
      </c>
      <c r="C132" s="87">
        <v>909</v>
      </c>
      <c r="D132" s="89" t="s">
        <v>380</v>
      </c>
      <c r="E132" s="99" t="s">
        <v>20</v>
      </c>
      <c r="F132" s="99" t="s">
        <v>194</v>
      </c>
      <c r="G132" s="99" t="s">
        <v>85</v>
      </c>
      <c r="H132" s="180" t="s">
        <v>197</v>
      </c>
      <c r="I132" s="99" t="s">
        <v>198</v>
      </c>
      <c r="J132" s="99" t="s">
        <v>199</v>
      </c>
      <c r="K132" s="20" t="s">
        <v>29</v>
      </c>
      <c r="L132" s="20" t="s">
        <v>200</v>
      </c>
      <c r="M132" s="20" t="s">
        <v>37</v>
      </c>
      <c r="N132" s="55">
        <f>188462.75+400000+318265.25+11841700+419898.16</f>
        <v>13168326.16</v>
      </c>
      <c r="O132" s="55">
        <f>419898.16+11020000+286978.8+400000+188462.75</f>
        <v>12315339.710000001</v>
      </c>
      <c r="P132" s="55">
        <f>500000+500000</f>
        <v>1000000</v>
      </c>
      <c r="Q132" s="55">
        <v>1000000</v>
      </c>
      <c r="R132" s="55">
        <v>1000000</v>
      </c>
      <c r="S132" s="55">
        <v>1000000</v>
      </c>
    </row>
    <row r="133" spans="1:19" ht="75" x14ac:dyDescent="0.25">
      <c r="A133" s="90"/>
      <c r="B133" s="91"/>
      <c r="C133" s="90"/>
      <c r="D133" s="181"/>
      <c r="E133" s="182"/>
      <c r="F133" s="182"/>
      <c r="G133" s="182"/>
      <c r="H133" s="183"/>
      <c r="I133" s="182"/>
      <c r="J133" s="182"/>
      <c r="K133" s="20" t="s">
        <v>415</v>
      </c>
      <c r="L133" s="20"/>
      <c r="M133" s="20" t="s">
        <v>414</v>
      </c>
      <c r="N133" s="62"/>
      <c r="O133" s="62"/>
      <c r="P133" s="62"/>
      <c r="Q133" s="62"/>
      <c r="R133" s="62"/>
      <c r="S133" s="62"/>
    </row>
    <row r="134" spans="1:19" ht="90" x14ac:dyDescent="0.25">
      <c r="A134" s="90"/>
      <c r="B134" s="91"/>
      <c r="C134" s="90"/>
      <c r="D134" s="103"/>
      <c r="E134" s="47" t="s">
        <v>195</v>
      </c>
      <c r="F134" s="47" t="s">
        <v>196</v>
      </c>
      <c r="G134" s="47" t="s">
        <v>175</v>
      </c>
      <c r="H134" s="47"/>
      <c r="I134" s="47"/>
      <c r="J134" s="47"/>
      <c r="K134" s="20"/>
      <c r="L134" s="20"/>
      <c r="M134" s="20"/>
      <c r="N134" s="62"/>
      <c r="O134" s="62"/>
      <c r="P134" s="56"/>
      <c r="Q134" s="56"/>
      <c r="R134" s="62"/>
      <c r="S134" s="62"/>
    </row>
    <row r="135" spans="1:19" ht="135" x14ac:dyDescent="0.25">
      <c r="A135" s="87">
        <v>2507</v>
      </c>
      <c r="B135" s="88" t="s">
        <v>498</v>
      </c>
      <c r="C135" s="87">
        <v>909</v>
      </c>
      <c r="D135" s="89" t="s">
        <v>202</v>
      </c>
      <c r="E135" s="20" t="s">
        <v>203</v>
      </c>
      <c r="F135" s="20" t="s">
        <v>204</v>
      </c>
      <c r="G135" s="20" t="s">
        <v>205</v>
      </c>
      <c r="H135" s="20" t="s">
        <v>206</v>
      </c>
      <c r="I135" s="20" t="s">
        <v>48</v>
      </c>
      <c r="J135" s="20" t="s">
        <v>207</v>
      </c>
      <c r="K135" s="20" t="s">
        <v>29</v>
      </c>
      <c r="L135" s="20" t="s">
        <v>212</v>
      </c>
      <c r="M135" s="20" t="s">
        <v>30</v>
      </c>
      <c r="N135" s="55">
        <f>318079594.26+788147.46</f>
        <v>318867741.71999997</v>
      </c>
      <c r="O135" s="55">
        <f>311137313.16+788146.79</f>
        <v>311925459.95000005</v>
      </c>
      <c r="P135" s="55">
        <v>102454782</v>
      </c>
      <c r="Q135" s="55">
        <v>102454782</v>
      </c>
      <c r="R135" s="55">
        <v>105041661</v>
      </c>
      <c r="S135" s="55">
        <v>105041661</v>
      </c>
    </row>
    <row r="136" spans="1:19" ht="60" x14ac:dyDescent="0.25">
      <c r="A136" s="90"/>
      <c r="B136" s="91"/>
      <c r="C136" s="90"/>
      <c r="D136" s="103"/>
      <c r="E136" s="20"/>
      <c r="F136" s="20"/>
      <c r="G136" s="20"/>
      <c r="H136" s="20"/>
      <c r="I136" s="20"/>
      <c r="J136" s="20"/>
      <c r="K136" s="20" t="s">
        <v>210</v>
      </c>
      <c r="L136" s="20"/>
      <c r="M136" s="20" t="s">
        <v>211</v>
      </c>
      <c r="N136" s="62"/>
      <c r="O136" s="62"/>
      <c r="P136" s="62"/>
      <c r="Q136" s="62"/>
      <c r="R136" s="62"/>
      <c r="S136" s="62"/>
    </row>
    <row r="137" spans="1:19" ht="105" x14ac:dyDescent="0.25">
      <c r="A137" s="90"/>
      <c r="B137" s="91"/>
      <c r="C137" s="90"/>
      <c r="D137" s="103"/>
      <c r="E137" s="20"/>
      <c r="F137" s="20"/>
      <c r="G137" s="20"/>
      <c r="H137" s="20"/>
      <c r="I137" s="20"/>
      <c r="J137" s="20"/>
      <c r="K137" s="20" t="s">
        <v>208</v>
      </c>
      <c r="L137" s="20"/>
      <c r="M137" s="20" t="s">
        <v>209</v>
      </c>
      <c r="N137" s="62"/>
      <c r="O137" s="62"/>
      <c r="P137" s="62"/>
      <c r="Q137" s="62"/>
      <c r="R137" s="62"/>
      <c r="S137" s="62"/>
    </row>
    <row r="138" spans="1:19" ht="75" x14ac:dyDescent="0.25">
      <c r="A138" s="96"/>
      <c r="B138" s="98"/>
      <c r="C138" s="96"/>
      <c r="D138" s="97"/>
      <c r="E138" s="20"/>
      <c r="F138" s="20"/>
      <c r="G138" s="20"/>
      <c r="H138" s="20"/>
      <c r="I138" s="20"/>
      <c r="J138" s="20"/>
      <c r="K138" s="20" t="s">
        <v>542</v>
      </c>
      <c r="L138" s="20"/>
      <c r="M138" s="20" t="s">
        <v>482</v>
      </c>
      <c r="N138" s="52"/>
      <c r="O138" s="52"/>
      <c r="P138" s="52"/>
      <c r="Q138" s="52"/>
      <c r="R138" s="52"/>
      <c r="S138" s="52"/>
    </row>
    <row r="139" spans="1:19" ht="240" x14ac:dyDescent="0.25">
      <c r="A139" s="87">
        <v>2508</v>
      </c>
      <c r="B139" s="88" t="s">
        <v>38</v>
      </c>
      <c r="C139" s="87">
        <v>909</v>
      </c>
      <c r="D139" s="89" t="s">
        <v>106</v>
      </c>
      <c r="E139" s="20" t="s">
        <v>20</v>
      </c>
      <c r="F139" s="20" t="s">
        <v>213</v>
      </c>
      <c r="G139" s="20" t="s">
        <v>85</v>
      </c>
      <c r="H139" s="20"/>
      <c r="I139" s="20"/>
      <c r="J139" s="20"/>
      <c r="K139" s="20" t="s">
        <v>594</v>
      </c>
      <c r="L139" s="20"/>
      <c r="M139" s="20" t="s">
        <v>429</v>
      </c>
      <c r="N139" s="55">
        <v>6345975</v>
      </c>
      <c r="O139" s="55">
        <v>6333728.8499999996</v>
      </c>
      <c r="P139" s="55">
        <v>51471520</v>
      </c>
      <c r="Q139" s="55">
        <v>2900000</v>
      </c>
      <c r="R139" s="55">
        <v>2900000</v>
      </c>
      <c r="S139" s="55">
        <v>2900000</v>
      </c>
    </row>
    <row r="140" spans="1:19" ht="45" x14ac:dyDescent="0.25">
      <c r="A140" s="92"/>
      <c r="B140" s="94"/>
      <c r="C140" s="92"/>
      <c r="D140" s="93"/>
      <c r="E140" s="20"/>
      <c r="F140" s="20"/>
      <c r="G140" s="20"/>
      <c r="H140" s="20"/>
      <c r="I140" s="20"/>
      <c r="J140" s="20"/>
      <c r="K140" s="20" t="s">
        <v>29</v>
      </c>
      <c r="L140" s="20" t="s">
        <v>108</v>
      </c>
      <c r="M140" s="20" t="s">
        <v>30</v>
      </c>
      <c r="N140" s="56"/>
      <c r="O140" s="56"/>
      <c r="P140" s="56"/>
      <c r="Q140" s="56"/>
      <c r="R140" s="56"/>
      <c r="S140" s="56"/>
    </row>
    <row r="141" spans="1:19" ht="225" x14ac:dyDescent="0.25">
      <c r="A141" s="87">
        <v>2511</v>
      </c>
      <c r="B141" s="88" t="s">
        <v>214</v>
      </c>
      <c r="C141" s="87">
        <v>909</v>
      </c>
      <c r="D141" s="89" t="s">
        <v>215</v>
      </c>
      <c r="E141" s="20" t="s">
        <v>20</v>
      </c>
      <c r="F141" s="20" t="s">
        <v>216</v>
      </c>
      <c r="G141" s="20" t="s">
        <v>85</v>
      </c>
      <c r="H141" s="20" t="s">
        <v>217</v>
      </c>
      <c r="I141" s="20" t="s">
        <v>48</v>
      </c>
      <c r="J141" s="20" t="s">
        <v>218</v>
      </c>
      <c r="K141" s="20" t="s">
        <v>596</v>
      </c>
      <c r="L141" s="20"/>
      <c r="M141" s="20" t="s">
        <v>222</v>
      </c>
      <c r="N141" s="55">
        <v>67353020</v>
      </c>
      <c r="O141" s="55">
        <v>67318885.530000001</v>
      </c>
      <c r="P141" s="55">
        <f>74256800+20</f>
        <v>74256820</v>
      </c>
      <c r="Q141" s="55">
        <f>74256800+20</f>
        <v>74256820</v>
      </c>
      <c r="R141" s="55">
        <f>74256800+20</f>
        <v>74256820</v>
      </c>
      <c r="S141" s="55">
        <f>74256800+20</f>
        <v>74256820</v>
      </c>
    </row>
    <row r="142" spans="1:19" ht="75" x14ac:dyDescent="0.25">
      <c r="A142" s="92"/>
      <c r="B142" s="94"/>
      <c r="C142" s="92"/>
      <c r="D142" s="93"/>
      <c r="E142" s="20"/>
      <c r="F142" s="20"/>
      <c r="G142" s="20"/>
      <c r="H142" s="20" t="s">
        <v>219</v>
      </c>
      <c r="I142" s="20" t="s">
        <v>220</v>
      </c>
      <c r="J142" s="20" t="s">
        <v>221</v>
      </c>
      <c r="K142" s="20" t="s">
        <v>29</v>
      </c>
      <c r="L142" s="20" t="s">
        <v>444</v>
      </c>
      <c r="M142" s="20" t="s">
        <v>30</v>
      </c>
      <c r="N142" s="56"/>
      <c r="O142" s="56"/>
      <c r="P142" s="56"/>
      <c r="Q142" s="56"/>
      <c r="R142" s="56"/>
      <c r="S142" s="56"/>
    </row>
    <row r="143" spans="1:19" ht="45" x14ac:dyDescent="0.25">
      <c r="A143" s="87">
        <v>2529</v>
      </c>
      <c r="B143" s="88" t="s">
        <v>223</v>
      </c>
      <c r="C143" s="87">
        <v>909</v>
      </c>
      <c r="D143" s="89" t="s">
        <v>193</v>
      </c>
      <c r="E143" s="88" t="s">
        <v>20</v>
      </c>
      <c r="F143" s="87" t="s">
        <v>224</v>
      </c>
      <c r="G143" s="184" t="s">
        <v>85</v>
      </c>
      <c r="H143" s="87"/>
      <c r="I143" s="87"/>
      <c r="J143" s="87"/>
      <c r="K143" s="20" t="s">
        <v>29</v>
      </c>
      <c r="L143" s="20" t="s">
        <v>157</v>
      </c>
      <c r="M143" s="20" t="s">
        <v>30</v>
      </c>
      <c r="N143" s="55">
        <v>8883000</v>
      </c>
      <c r="O143" s="55">
        <v>8825616.4800000004</v>
      </c>
      <c r="P143" s="55">
        <v>6000000</v>
      </c>
      <c r="Q143" s="55">
        <v>6000000</v>
      </c>
      <c r="R143" s="55">
        <v>6000000</v>
      </c>
      <c r="S143" s="55">
        <v>6000000</v>
      </c>
    </row>
    <row r="144" spans="1:19" ht="225" x14ac:dyDescent="0.25">
      <c r="A144" s="90"/>
      <c r="B144" s="91"/>
      <c r="C144" s="90"/>
      <c r="D144" s="103"/>
      <c r="E144" s="91"/>
      <c r="F144" s="90"/>
      <c r="G144" s="185"/>
      <c r="H144" s="90"/>
      <c r="I144" s="90"/>
      <c r="J144" s="90"/>
      <c r="K144" s="20" t="s">
        <v>595</v>
      </c>
      <c r="L144" s="20"/>
      <c r="M144" s="20" t="s">
        <v>222</v>
      </c>
      <c r="N144" s="62"/>
      <c r="O144" s="62"/>
      <c r="P144" s="62"/>
      <c r="Q144" s="62"/>
      <c r="R144" s="62"/>
      <c r="S144" s="62"/>
    </row>
    <row r="145" spans="1:19" ht="45" x14ac:dyDescent="0.25">
      <c r="A145" s="87">
        <v>2536</v>
      </c>
      <c r="B145" s="88" t="s">
        <v>225</v>
      </c>
      <c r="C145" s="87">
        <v>909</v>
      </c>
      <c r="D145" s="89" t="s">
        <v>234</v>
      </c>
      <c r="E145" s="88" t="s">
        <v>20</v>
      </c>
      <c r="F145" s="88" t="s">
        <v>226</v>
      </c>
      <c r="G145" s="186" t="s">
        <v>85</v>
      </c>
      <c r="H145" s="88" t="s">
        <v>227</v>
      </c>
      <c r="I145" s="88" t="s">
        <v>229</v>
      </c>
      <c r="J145" s="88" t="s">
        <v>228</v>
      </c>
      <c r="K145" s="20" t="s">
        <v>29</v>
      </c>
      <c r="L145" s="20" t="s">
        <v>232</v>
      </c>
      <c r="M145" s="20" t="s">
        <v>30</v>
      </c>
      <c r="N145" s="55">
        <v>72000</v>
      </c>
      <c r="O145" s="55">
        <v>72000</v>
      </c>
      <c r="P145" s="55">
        <v>36000</v>
      </c>
      <c r="Q145" s="55">
        <v>36000</v>
      </c>
      <c r="R145" s="55">
        <v>36000</v>
      </c>
      <c r="S145" s="55">
        <v>36000</v>
      </c>
    </row>
    <row r="146" spans="1:19" ht="120" x14ac:dyDescent="0.25">
      <c r="A146" s="90"/>
      <c r="B146" s="91"/>
      <c r="C146" s="90"/>
      <c r="D146" s="103"/>
      <c r="E146" s="91"/>
      <c r="F146" s="91"/>
      <c r="G146" s="187"/>
      <c r="H146" s="91"/>
      <c r="I146" s="91"/>
      <c r="J146" s="91"/>
      <c r="K146" s="20" t="s">
        <v>230</v>
      </c>
      <c r="L146" s="20"/>
      <c r="M146" s="20" t="s">
        <v>231</v>
      </c>
      <c r="N146" s="62"/>
      <c r="O146" s="62"/>
      <c r="P146" s="62"/>
      <c r="Q146" s="62"/>
      <c r="R146" s="62"/>
      <c r="S146" s="62"/>
    </row>
    <row r="147" spans="1:19" ht="90" x14ac:dyDescent="0.25">
      <c r="A147" s="87">
        <v>2538</v>
      </c>
      <c r="B147" s="88" t="s">
        <v>233</v>
      </c>
      <c r="C147" s="87">
        <v>909</v>
      </c>
      <c r="D147" s="89" t="s">
        <v>234</v>
      </c>
      <c r="E147" s="20" t="s">
        <v>20</v>
      </c>
      <c r="F147" s="20" t="s">
        <v>235</v>
      </c>
      <c r="G147" s="26" t="s">
        <v>85</v>
      </c>
      <c r="H147" s="20" t="s">
        <v>239</v>
      </c>
      <c r="I147" s="20" t="s">
        <v>48</v>
      </c>
      <c r="J147" s="20" t="s">
        <v>240</v>
      </c>
      <c r="K147" s="20" t="s">
        <v>29</v>
      </c>
      <c r="L147" s="20" t="s">
        <v>243</v>
      </c>
      <c r="M147" s="20" t="s">
        <v>30</v>
      </c>
      <c r="N147" s="63">
        <f>2448510.88+568480</f>
        <v>3016990.88</v>
      </c>
      <c r="O147" s="63">
        <v>3016989.88</v>
      </c>
      <c r="P147" s="55">
        <v>4500000</v>
      </c>
      <c r="Q147" s="55">
        <v>4500000</v>
      </c>
      <c r="R147" s="55">
        <v>4500000</v>
      </c>
      <c r="S147" s="55">
        <v>4500000</v>
      </c>
    </row>
    <row r="148" spans="1:19" ht="120" x14ac:dyDescent="0.25">
      <c r="A148" s="90"/>
      <c r="B148" s="91"/>
      <c r="C148" s="90"/>
      <c r="D148" s="103"/>
      <c r="E148" s="20"/>
      <c r="F148" s="20"/>
      <c r="G148" s="26"/>
      <c r="H148" s="20"/>
      <c r="I148" s="20"/>
      <c r="J148" s="20"/>
      <c r="K148" s="20" t="s">
        <v>241</v>
      </c>
      <c r="L148" s="20"/>
      <c r="M148" s="20" t="s">
        <v>242</v>
      </c>
      <c r="N148" s="95"/>
      <c r="O148" s="95"/>
      <c r="P148" s="62"/>
      <c r="Q148" s="62"/>
      <c r="R148" s="62"/>
      <c r="S148" s="62"/>
    </row>
    <row r="149" spans="1:19" ht="90" x14ac:dyDescent="0.25">
      <c r="A149" s="92"/>
      <c r="B149" s="94"/>
      <c r="C149" s="92"/>
      <c r="D149" s="93"/>
      <c r="E149" s="20" t="s">
        <v>236</v>
      </c>
      <c r="F149" s="20" t="s">
        <v>237</v>
      </c>
      <c r="G149" s="20" t="s">
        <v>238</v>
      </c>
      <c r="H149" s="20"/>
      <c r="I149" s="20"/>
      <c r="J149" s="20"/>
      <c r="K149" s="20" t="s">
        <v>543</v>
      </c>
      <c r="L149" s="20"/>
      <c r="M149" s="20" t="s">
        <v>483</v>
      </c>
      <c r="N149" s="64"/>
      <c r="O149" s="64"/>
      <c r="P149" s="56"/>
      <c r="Q149" s="56"/>
      <c r="R149" s="56"/>
      <c r="S149" s="56"/>
    </row>
    <row r="150" spans="1:19" ht="90" x14ac:dyDescent="0.25">
      <c r="A150" s="87">
        <v>2539</v>
      </c>
      <c r="B150" s="88" t="s">
        <v>499</v>
      </c>
      <c r="C150" s="87">
        <v>909</v>
      </c>
      <c r="D150" s="89" t="s">
        <v>387</v>
      </c>
      <c r="E150" s="20" t="s">
        <v>20</v>
      </c>
      <c r="F150" s="20" t="s">
        <v>244</v>
      </c>
      <c r="G150" s="26" t="s">
        <v>85</v>
      </c>
      <c r="H150" s="20" t="s">
        <v>251</v>
      </c>
      <c r="I150" s="20" t="s">
        <v>48</v>
      </c>
      <c r="J150" s="20" t="s">
        <v>252</v>
      </c>
      <c r="K150" s="20" t="s">
        <v>29</v>
      </c>
      <c r="L150" s="20" t="s">
        <v>253</v>
      </c>
      <c r="M150" s="20" t="s">
        <v>30</v>
      </c>
      <c r="N150" s="55">
        <v>6363636.3700000001</v>
      </c>
      <c r="O150" s="55">
        <v>6232425.5999999996</v>
      </c>
      <c r="P150" s="55">
        <v>100000</v>
      </c>
      <c r="Q150" s="55">
        <v>100000</v>
      </c>
      <c r="R150" s="55">
        <v>100000</v>
      </c>
      <c r="S150" s="55">
        <v>100000</v>
      </c>
    </row>
    <row r="151" spans="1:19" ht="120" x14ac:dyDescent="0.25">
      <c r="A151" s="90"/>
      <c r="B151" s="91"/>
      <c r="C151" s="90"/>
      <c r="D151" s="103"/>
      <c r="E151" s="20" t="s">
        <v>245</v>
      </c>
      <c r="F151" s="20" t="s">
        <v>246</v>
      </c>
      <c r="G151" s="20" t="s">
        <v>247</v>
      </c>
      <c r="H151" s="20"/>
      <c r="I151" s="20"/>
      <c r="J151" s="20"/>
      <c r="K151" s="20" t="s">
        <v>254</v>
      </c>
      <c r="L151" s="20"/>
      <c r="M151" s="20" t="s">
        <v>255</v>
      </c>
      <c r="N151" s="62"/>
      <c r="O151" s="62"/>
      <c r="P151" s="62"/>
      <c r="Q151" s="62"/>
      <c r="R151" s="62"/>
      <c r="S151" s="62"/>
    </row>
    <row r="152" spans="1:19" ht="60" x14ac:dyDescent="0.25">
      <c r="A152" s="92"/>
      <c r="B152" s="94"/>
      <c r="C152" s="92"/>
      <c r="D152" s="93"/>
      <c r="E152" s="20" t="s">
        <v>248</v>
      </c>
      <c r="F152" s="20" t="s">
        <v>249</v>
      </c>
      <c r="G152" s="20" t="s">
        <v>250</v>
      </c>
      <c r="H152" s="20"/>
      <c r="I152" s="20"/>
      <c r="J152" s="20"/>
      <c r="K152" s="20"/>
      <c r="L152" s="20"/>
      <c r="M152" s="20"/>
      <c r="N152" s="56"/>
      <c r="O152" s="56"/>
      <c r="P152" s="56"/>
      <c r="Q152" s="56"/>
      <c r="R152" s="56"/>
      <c r="S152" s="56"/>
    </row>
    <row r="153" spans="1:19" ht="90" x14ac:dyDescent="0.25">
      <c r="A153" s="87" t="s">
        <v>432</v>
      </c>
      <c r="B153" s="88" t="s">
        <v>500</v>
      </c>
      <c r="C153" s="87">
        <v>909</v>
      </c>
      <c r="D153" s="89" t="s">
        <v>234</v>
      </c>
      <c r="E153" s="20" t="s">
        <v>20</v>
      </c>
      <c r="F153" s="20" t="s">
        <v>257</v>
      </c>
      <c r="G153" s="20" t="s">
        <v>85</v>
      </c>
      <c r="H153" s="20"/>
      <c r="I153" s="20"/>
      <c r="J153" s="20"/>
      <c r="K153" s="20" t="s">
        <v>29</v>
      </c>
      <c r="L153" s="20" t="s">
        <v>258</v>
      </c>
      <c r="M153" s="20" t="s">
        <v>30</v>
      </c>
      <c r="N153" s="55">
        <f>257692335.06-N147-N145</f>
        <v>254603344.18000001</v>
      </c>
      <c r="O153" s="55">
        <f>257683318.3-O147-O145</f>
        <v>254594328.42000002</v>
      </c>
      <c r="P153" s="55">
        <f>89741800-P147-P145</f>
        <v>85205800</v>
      </c>
      <c r="Q153" s="55">
        <f>164432240-Q147-Q145</f>
        <v>159896240</v>
      </c>
      <c r="R153" s="55">
        <f>69672658-R147-R145</f>
        <v>65136658</v>
      </c>
      <c r="S153" s="55">
        <f>69672658-S147-S145</f>
        <v>65136658</v>
      </c>
    </row>
    <row r="154" spans="1:19" ht="126" customHeight="1" x14ac:dyDescent="0.25">
      <c r="A154" s="90"/>
      <c r="B154" s="91"/>
      <c r="C154" s="90"/>
      <c r="D154" s="103"/>
      <c r="E154" s="20"/>
      <c r="F154" s="20"/>
      <c r="G154" s="20"/>
      <c r="H154" s="20"/>
      <c r="I154" s="20"/>
      <c r="J154" s="20"/>
      <c r="K154" s="28" t="s">
        <v>412</v>
      </c>
      <c r="L154" s="28"/>
      <c r="M154" s="28" t="s">
        <v>413</v>
      </c>
      <c r="N154" s="62"/>
      <c r="O154" s="62"/>
      <c r="P154" s="62"/>
      <c r="Q154" s="62"/>
      <c r="R154" s="62"/>
      <c r="S154" s="62"/>
    </row>
    <row r="155" spans="1:19" ht="156" customHeight="1" x14ac:dyDescent="0.25">
      <c r="A155" s="96"/>
      <c r="B155" s="98"/>
      <c r="C155" s="96"/>
      <c r="D155" s="97"/>
      <c r="E155" s="20"/>
      <c r="F155" s="20"/>
      <c r="G155" s="20"/>
      <c r="H155" s="20"/>
      <c r="I155" s="20"/>
      <c r="J155" s="20"/>
      <c r="K155" s="28" t="s">
        <v>556</v>
      </c>
      <c r="L155" s="28"/>
      <c r="M155" s="28" t="s">
        <v>557</v>
      </c>
      <c r="N155" s="52"/>
      <c r="O155" s="52"/>
      <c r="P155" s="52"/>
      <c r="Q155" s="52"/>
      <c r="R155" s="52"/>
      <c r="S155" s="52"/>
    </row>
    <row r="156" spans="1:19" ht="105" x14ac:dyDescent="0.25">
      <c r="A156" s="96"/>
      <c r="B156" s="98"/>
      <c r="C156" s="96"/>
      <c r="D156" s="97"/>
      <c r="E156" s="20"/>
      <c r="F156" s="20"/>
      <c r="G156" s="20"/>
      <c r="H156" s="20"/>
      <c r="I156" s="20"/>
      <c r="J156" s="20"/>
      <c r="K156" s="28" t="s">
        <v>544</v>
      </c>
      <c r="L156" s="28"/>
      <c r="M156" s="65" t="s">
        <v>545</v>
      </c>
      <c r="N156" s="52"/>
      <c r="O156" s="52"/>
      <c r="P156" s="52"/>
      <c r="Q156" s="52"/>
      <c r="R156" s="52"/>
      <c r="S156" s="52"/>
    </row>
    <row r="157" spans="1:19" s="70" customFormat="1" ht="114" x14ac:dyDescent="0.2">
      <c r="A157" s="133">
        <v>2600</v>
      </c>
      <c r="B157" s="132" t="s">
        <v>438</v>
      </c>
      <c r="C157" s="35"/>
      <c r="D157" s="144"/>
      <c r="E157" s="35"/>
      <c r="F157" s="35"/>
      <c r="G157" s="35"/>
      <c r="H157" s="35"/>
      <c r="I157" s="35"/>
      <c r="J157" s="35"/>
      <c r="K157" s="35"/>
      <c r="L157" s="35"/>
      <c r="M157" s="35"/>
      <c r="N157" s="134">
        <f t="shared" ref="N157:S157" si="21">N158+N160</f>
        <v>41275611</v>
      </c>
      <c r="O157" s="134">
        <f t="shared" si="21"/>
        <v>41007594.030000001</v>
      </c>
      <c r="P157" s="134">
        <f t="shared" si="21"/>
        <v>53193705</v>
      </c>
      <c r="Q157" s="134">
        <f t="shared" si="21"/>
        <v>53193705</v>
      </c>
      <c r="R157" s="134">
        <f t="shared" si="21"/>
        <v>53193705</v>
      </c>
      <c r="S157" s="134">
        <f t="shared" si="21"/>
        <v>53193705</v>
      </c>
    </row>
    <row r="158" spans="1:19" ht="90" x14ac:dyDescent="0.25">
      <c r="A158" s="87" t="s">
        <v>430</v>
      </c>
      <c r="B158" s="88" t="s">
        <v>501</v>
      </c>
      <c r="C158" s="87">
        <v>909</v>
      </c>
      <c r="D158" s="89" t="s">
        <v>189</v>
      </c>
      <c r="E158" s="20" t="s">
        <v>20</v>
      </c>
      <c r="F158" s="20" t="s">
        <v>33</v>
      </c>
      <c r="G158" s="42" t="s">
        <v>21</v>
      </c>
      <c r="H158" s="20" t="s">
        <v>24</v>
      </c>
      <c r="I158" s="115" t="s">
        <v>25</v>
      </c>
      <c r="J158" s="42" t="s">
        <v>26</v>
      </c>
      <c r="K158" s="20" t="s">
        <v>29</v>
      </c>
      <c r="L158" s="111"/>
      <c r="M158" s="20" t="s">
        <v>30</v>
      </c>
      <c r="N158" s="55">
        <f>11789550.79+20007+460434.89</f>
        <v>12269992.68</v>
      </c>
      <c r="O158" s="55">
        <f>11767699.44+20007+460434.89</f>
        <v>12248141.33</v>
      </c>
      <c r="P158" s="55">
        <v>12647632</v>
      </c>
      <c r="Q158" s="55">
        <v>12647632</v>
      </c>
      <c r="R158" s="55">
        <v>12647632</v>
      </c>
      <c r="S158" s="55">
        <v>12647632</v>
      </c>
    </row>
    <row r="159" spans="1:19" ht="285" x14ac:dyDescent="0.25">
      <c r="A159" s="92"/>
      <c r="B159" s="94"/>
      <c r="C159" s="92"/>
      <c r="D159" s="93"/>
      <c r="E159" s="42" t="s">
        <v>22</v>
      </c>
      <c r="F159" s="114" t="s">
        <v>25</v>
      </c>
      <c r="G159" s="42" t="s">
        <v>23</v>
      </c>
      <c r="H159" s="20" t="s">
        <v>27</v>
      </c>
      <c r="I159" s="115" t="s">
        <v>25</v>
      </c>
      <c r="J159" s="20" t="s">
        <v>28</v>
      </c>
      <c r="K159" s="20" t="s">
        <v>597</v>
      </c>
      <c r="L159" s="20"/>
      <c r="M159" s="20" t="s">
        <v>397</v>
      </c>
      <c r="N159" s="56"/>
      <c r="O159" s="56"/>
      <c r="P159" s="56"/>
      <c r="Q159" s="56"/>
      <c r="R159" s="56"/>
      <c r="S159" s="56"/>
    </row>
    <row r="160" spans="1:19" ht="90" x14ac:dyDescent="0.25">
      <c r="A160" s="87">
        <v>2608</v>
      </c>
      <c r="B160" s="88" t="s">
        <v>338</v>
      </c>
      <c r="C160" s="87">
        <v>909</v>
      </c>
      <c r="D160" s="89" t="s">
        <v>189</v>
      </c>
      <c r="E160" s="20" t="s">
        <v>20</v>
      </c>
      <c r="F160" s="20" t="s">
        <v>35</v>
      </c>
      <c r="G160" s="20" t="s">
        <v>21</v>
      </c>
      <c r="H160" s="119"/>
      <c r="I160" s="20"/>
      <c r="J160" s="20"/>
      <c r="K160" s="38" t="s">
        <v>190</v>
      </c>
      <c r="L160" s="20"/>
      <c r="M160" s="20" t="s">
        <v>191</v>
      </c>
      <c r="N160" s="55">
        <f>29793765.78-788147.46</f>
        <v>29005618.32</v>
      </c>
      <c r="O160" s="55">
        <f>29547599.49-788146.79</f>
        <v>28759452.699999999</v>
      </c>
      <c r="P160" s="63">
        <v>40546073</v>
      </c>
      <c r="Q160" s="55">
        <v>40546073</v>
      </c>
      <c r="R160" s="55">
        <v>40546073</v>
      </c>
      <c r="S160" s="55">
        <v>40546073</v>
      </c>
    </row>
    <row r="161" spans="1:19" ht="30" x14ac:dyDescent="0.25">
      <c r="A161" s="92"/>
      <c r="B161" s="94"/>
      <c r="C161" s="92"/>
      <c r="D161" s="93"/>
      <c r="E161" s="20"/>
      <c r="F161" s="20"/>
      <c r="G161" s="20"/>
      <c r="H161" s="20"/>
      <c r="I161" s="20"/>
      <c r="J161" s="20"/>
      <c r="K161" s="20" t="s">
        <v>29</v>
      </c>
      <c r="L161" s="114" t="s">
        <v>36</v>
      </c>
      <c r="M161" s="20" t="s">
        <v>37</v>
      </c>
      <c r="N161" s="56"/>
      <c r="O161" s="56"/>
      <c r="P161" s="64"/>
      <c r="Q161" s="56"/>
      <c r="R161" s="56"/>
      <c r="S161" s="56"/>
    </row>
    <row r="162" spans="1:19" s="70" customFormat="1" ht="42.75" x14ac:dyDescent="0.2">
      <c r="A162" s="148">
        <v>3200</v>
      </c>
      <c r="B162" s="150" t="s">
        <v>488</v>
      </c>
      <c r="C162" s="35"/>
      <c r="D162" s="144"/>
      <c r="E162" s="35"/>
      <c r="F162" s="35"/>
      <c r="G162" s="35"/>
      <c r="H162" s="35"/>
      <c r="I162" s="35"/>
      <c r="J162" s="35"/>
      <c r="K162" s="35"/>
      <c r="L162" s="35"/>
      <c r="M162" s="35"/>
      <c r="N162" s="134">
        <f t="shared" ref="N162:S162" si="22">N163+N164</f>
        <v>15481937</v>
      </c>
      <c r="O162" s="134">
        <f t="shared" si="22"/>
        <v>10339796.9</v>
      </c>
      <c r="P162" s="134">
        <f t="shared" si="22"/>
        <v>18472200</v>
      </c>
      <c r="Q162" s="134">
        <f t="shared" si="22"/>
        <v>17589500</v>
      </c>
      <c r="R162" s="134">
        <f t="shared" si="22"/>
        <v>17589500</v>
      </c>
      <c r="S162" s="134">
        <f t="shared" si="22"/>
        <v>17589500</v>
      </c>
    </row>
    <row r="163" spans="1:19" ht="230.25" customHeight="1" x14ac:dyDescent="0.25">
      <c r="A163" s="110">
        <v>3260</v>
      </c>
      <c r="B163" s="99" t="s">
        <v>502</v>
      </c>
      <c r="C163" s="110">
        <v>909</v>
      </c>
      <c r="D163" s="130" t="s">
        <v>193</v>
      </c>
      <c r="E163" s="20" t="s">
        <v>571</v>
      </c>
      <c r="F163" s="20" t="s">
        <v>584</v>
      </c>
      <c r="G163" s="20" t="s">
        <v>574</v>
      </c>
      <c r="H163" s="99" t="s">
        <v>259</v>
      </c>
      <c r="I163" s="188" t="s">
        <v>48</v>
      </c>
      <c r="J163" s="99" t="s">
        <v>260</v>
      </c>
      <c r="K163" s="43" t="s">
        <v>471</v>
      </c>
      <c r="L163" s="20"/>
      <c r="M163" s="20" t="s">
        <v>472</v>
      </c>
      <c r="N163" s="48">
        <v>13029200</v>
      </c>
      <c r="O163" s="48">
        <v>7972225.9000000004</v>
      </c>
      <c r="P163" s="48">
        <v>15895700</v>
      </c>
      <c r="Q163" s="48">
        <v>15895700</v>
      </c>
      <c r="R163" s="48">
        <v>15895700</v>
      </c>
      <c r="S163" s="48">
        <v>15895700</v>
      </c>
    </row>
    <row r="164" spans="1:19" ht="105" customHeight="1" x14ac:dyDescent="0.25">
      <c r="A164" s="110">
        <v>3254</v>
      </c>
      <c r="B164" s="99" t="s">
        <v>344</v>
      </c>
      <c r="C164" s="110">
        <v>909</v>
      </c>
      <c r="D164" s="130" t="s">
        <v>398</v>
      </c>
      <c r="E164" s="20" t="s">
        <v>571</v>
      </c>
      <c r="F164" s="20" t="s">
        <v>585</v>
      </c>
      <c r="G164" s="20" t="s">
        <v>574</v>
      </c>
      <c r="H164" s="99" t="s">
        <v>261</v>
      </c>
      <c r="I164" s="99" t="s">
        <v>48</v>
      </c>
      <c r="J164" s="99" t="s">
        <v>262</v>
      </c>
      <c r="K164" s="20" t="s">
        <v>374</v>
      </c>
      <c r="L164" s="20"/>
      <c r="M164" s="20" t="s">
        <v>375</v>
      </c>
      <c r="N164" s="48">
        <f>206301+2246436</f>
        <v>2452737</v>
      </c>
      <c r="O164" s="48">
        <f>2161270+206301</f>
        <v>2367571</v>
      </c>
      <c r="P164" s="48">
        <f>227800+2348700</f>
        <v>2576500</v>
      </c>
      <c r="Q164" s="48">
        <f>1466000+227800</f>
        <v>1693800</v>
      </c>
      <c r="R164" s="48">
        <f>1466000+227800</f>
        <v>1693800</v>
      </c>
      <c r="S164" s="48">
        <v>1693800</v>
      </c>
    </row>
    <row r="165" spans="1:19" s="70" customFormat="1" ht="42.75" x14ac:dyDescent="0.2">
      <c r="A165" s="189"/>
      <c r="B165" s="39" t="s">
        <v>263</v>
      </c>
      <c r="C165" s="189">
        <v>911</v>
      </c>
      <c r="D165" s="190"/>
      <c r="E165" s="39"/>
      <c r="F165" s="39"/>
      <c r="G165" s="39"/>
      <c r="H165" s="39"/>
      <c r="I165" s="39"/>
      <c r="J165" s="39"/>
      <c r="K165" s="39"/>
      <c r="L165" s="39"/>
      <c r="M165" s="39"/>
      <c r="N165" s="191">
        <f t="shared" ref="N165:S165" si="23">N166+N182</f>
        <v>207680743.44999999</v>
      </c>
      <c r="O165" s="191">
        <f t="shared" si="23"/>
        <v>204758007.07999998</v>
      </c>
      <c r="P165" s="191">
        <f t="shared" si="23"/>
        <v>205395694</v>
      </c>
      <c r="Q165" s="191">
        <f t="shared" si="23"/>
        <v>199090694</v>
      </c>
      <c r="R165" s="191">
        <f t="shared" si="23"/>
        <v>245445694</v>
      </c>
      <c r="S165" s="191">
        <f t="shared" si="23"/>
        <v>245445694</v>
      </c>
    </row>
    <row r="166" spans="1:19" s="70" customFormat="1" ht="57" x14ac:dyDescent="0.2">
      <c r="A166" s="33">
        <v>2500</v>
      </c>
      <c r="B166" s="160" t="s">
        <v>437</v>
      </c>
      <c r="C166" s="35"/>
      <c r="D166" s="144"/>
      <c r="E166" s="35"/>
      <c r="F166" s="35"/>
      <c r="G166" s="35"/>
      <c r="H166" s="35"/>
      <c r="I166" s="35"/>
      <c r="J166" s="35"/>
      <c r="K166" s="35"/>
      <c r="L166" s="35"/>
      <c r="M166" s="35"/>
      <c r="N166" s="134">
        <f>N168+N177+N173+N174</f>
        <v>168464475.16999999</v>
      </c>
      <c r="O166" s="134">
        <f>O168+O177+O173+O174</f>
        <v>165644941.66999999</v>
      </c>
      <c r="P166" s="134">
        <f>P168+P177+P173+P174+P167</f>
        <v>160453623</v>
      </c>
      <c r="Q166" s="134">
        <f>Q168+Q177+Q173+Q174</f>
        <v>154148623</v>
      </c>
      <c r="R166" s="134">
        <f>R168+R177+R173+R174</f>
        <v>200503623</v>
      </c>
      <c r="S166" s="134">
        <f>S168+S177+S173+S174</f>
        <v>200503623</v>
      </c>
    </row>
    <row r="167" spans="1:19" s="70" customFormat="1" ht="90" x14ac:dyDescent="0.2">
      <c r="A167" s="178">
        <v>2502</v>
      </c>
      <c r="B167" s="179" t="s">
        <v>564</v>
      </c>
      <c r="C167" s="110">
        <v>911</v>
      </c>
      <c r="D167" s="130" t="s">
        <v>264</v>
      </c>
      <c r="E167" s="20" t="s">
        <v>20</v>
      </c>
      <c r="F167" s="20" t="s">
        <v>586</v>
      </c>
      <c r="G167" s="20" t="s">
        <v>85</v>
      </c>
      <c r="H167" s="132"/>
      <c r="I167" s="132"/>
      <c r="J167" s="132"/>
      <c r="K167" s="20" t="s">
        <v>29</v>
      </c>
      <c r="L167" s="20" t="s">
        <v>565</v>
      </c>
      <c r="M167" s="20" t="s">
        <v>37</v>
      </c>
      <c r="N167" s="177"/>
      <c r="O167" s="177"/>
      <c r="P167" s="48"/>
      <c r="Q167" s="177"/>
      <c r="R167" s="177"/>
      <c r="S167" s="177"/>
    </row>
    <row r="168" spans="1:19" ht="90" x14ac:dyDescent="0.25">
      <c r="A168" s="87">
        <v>2534</v>
      </c>
      <c r="B168" s="88" t="s">
        <v>503</v>
      </c>
      <c r="C168" s="87">
        <v>911</v>
      </c>
      <c r="D168" s="89" t="s">
        <v>515</v>
      </c>
      <c r="E168" s="20" t="s">
        <v>20</v>
      </c>
      <c r="F168" s="20" t="s">
        <v>277</v>
      </c>
      <c r="G168" s="20" t="s">
        <v>85</v>
      </c>
      <c r="H168" s="20"/>
      <c r="I168" s="20"/>
      <c r="J168" s="20"/>
      <c r="K168" s="20" t="s">
        <v>29</v>
      </c>
      <c r="L168" s="20" t="s">
        <v>157</v>
      </c>
      <c r="M168" s="20" t="s">
        <v>30</v>
      </c>
      <c r="N168" s="48">
        <f>31735336.13+72080551.75-N173</f>
        <v>103565887.88</v>
      </c>
      <c r="O168" s="48">
        <f>31249547.83+70348697.09-O173</f>
        <v>101348249.60000001</v>
      </c>
      <c r="P168" s="48">
        <f>39227625+88471010-P173</f>
        <v>127398635</v>
      </c>
      <c r="Q168" s="48">
        <f>39227625+82166010-Q173</f>
        <v>121093635</v>
      </c>
      <c r="R168" s="48">
        <f>89732675.51+78015959.49-R173</f>
        <v>167448635</v>
      </c>
      <c r="S168" s="48">
        <f>89732675.51+78015959.49-S173</f>
        <v>167448635</v>
      </c>
    </row>
    <row r="169" spans="1:19" ht="165" x14ac:dyDescent="0.25">
      <c r="A169" s="92"/>
      <c r="B169" s="94"/>
      <c r="C169" s="92"/>
      <c r="D169" s="93"/>
      <c r="E169" s="99"/>
      <c r="F169" s="99"/>
      <c r="G169" s="99"/>
      <c r="H169" s="20"/>
      <c r="I169" s="20"/>
      <c r="J169" s="20"/>
      <c r="K169" s="20" t="s">
        <v>419</v>
      </c>
      <c r="L169" s="20"/>
      <c r="M169" s="20" t="s">
        <v>420</v>
      </c>
      <c r="N169" s="52"/>
      <c r="O169" s="52"/>
      <c r="P169" s="52"/>
      <c r="Q169" s="52"/>
      <c r="R169" s="52"/>
      <c r="S169" s="52"/>
    </row>
    <row r="170" spans="1:19" ht="105" x14ac:dyDescent="0.25">
      <c r="A170" s="123"/>
      <c r="B170" s="47"/>
      <c r="C170" s="123"/>
      <c r="D170" s="124"/>
      <c r="E170" s="99"/>
      <c r="F170" s="99"/>
      <c r="G170" s="99"/>
      <c r="H170" s="20"/>
      <c r="I170" s="20"/>
      <c r="J170" s="20"/>
      <c r="K170" s="20" t="s">
        <v>446</v>
      </c>
      <c r="L170" s="20"/>
      <c r="M170" s="20" t="s">
        <v>447</v>
      </c>
      <c r="N170" s="52"/>
      <c r="O170" s="52"/>
      <c r="P170" s="52"/>
      <c r="Q170" s="52"/>
      <c r="R170" s="52"/>
      <c r="S170" s="52"/>
    </row>
    <row r="171" spans="1:19" ht="150" x14ac:dyDescent="0.25">
      <c r="A171" s="123"/>
      <c r="B171" s="47"/>
      <c r="C171" s="123"/>
      <c r="D171" s="124"/>
      <c r="E171" s="99"/>
      <c r="F171" s="99"/>
      <c r="G171" s="99"/>
      <c r="H171" s="20"/>
      <c r="I171" s="20"/>
      <c r="J171" s="20"/>
      <c r="K171" s="20" t="s">
        <v>448</v>
      </c>
      <c r="L171" s="20"/>
      <c r="M171" s="20" t="s">
        <v>449</v>
      </c>
      <c r="N171" s="52"/>
      <c r="O171" s="52"/>
      <c r="P171" s="52"/>
      <c r="Q171" s="52"/>
      <c r="R171" s="52"/>
      <c r="S171" s="52"/>
    </row>
    <row r="172" spans="1:19" ht="90" x14ac:dyDescent="0.25">
      <c r="A172" s="123"/>
      <c r="B172" s="47"/>
      <c r="C172" s="123"/>
      <c r="D172" s="124"/>
      <c r="E172" s="99"/>
      <c r="F172" s="99"/>
      <c r="G172" s="99"/>
      <c r="H172" s="20"/>
      <c r="I172" s="20"/>
      <c r="J172" s="20"/>
      <c r="K172" s="20" t="s">
        <v>450</v>
      </c>
      <c r="L172" s="20"/>
      <c r="M172" s="20" t="s">
        <v>449</v>
      </c>
      <c r="N172" s="52"/>
      <c r="O172" s="52"/>
      <c r="P172" s="52"/>
      <c r="Q172" s="52"/>
      <c r="R172" s="52"/>
      <c r="S172" s="52"/>
    </row>
    <row r="173" spans="1:19" ht="165" x14ac:dyDescent="0.25">
      <c r="A173" s="136">
        <v>2535</v>
      </c>
      <c r="B173" s="20" t="s">
        <v>441</v>
      </c>
      <c r="C173" s="136">
        <v>911</v>
      </c>
      <c r="D173" s="137" t="s">
        <v>276</v>
      </c>
      <c r="E173" s="20" t="s">
        <v>278</v>
      </c>
      <c r="F173" s="20" t="s">
        <v>279</v>
      </c>
      <c r="G173" s="20" t="s">
        <v>280</v>
      </c>
      <c r="H173" s="20"/>
      <c r="I173" s="20"/>
      <c r="J173" s="20"/>
      <c r="K173" s="20" t="s">
        <v>327</v>
      </c>
      <c r="L173" s="20"/>
      <c r="M173" s="20" t="s">
        <v>328</v>
      </c>
      <c r="N173" s="135">
        <v>250000</v>
      </c>
      <c r="O173" s="135">
        <v>249995.32</v>
      </c>
      <c r="P173" s="135">
        <v>300000</v>
      </c>
      <c r="Q173" s="135">
        <v>300000</v>
      </c>
      <c r="R173" s="135">
        <v>300000</v>
      </c>
      <c r="S173" s="135">
        <v>300000</v>
      </c>
    </row>
    <row r="174" spans="1:19" ht="135" x14ac:dyDescent="0.25">
      <c r="A174" s="87">
        <v>2554</v>
      </c>
      <c r="B174" s="88" t="s">
        <v>442</v>
      </c>
      <c r="C174" s="87">
        <v>911</v>
      </c>
      <c r="D174" s="89" t="s">
        <v>514</v>
      </c>
      <c r="E174" s="99" t="s">
        <v>20</v>
      </c>
      <c r="F174" s="99" t="s">
        <v>47</v>
      </c>
      <c r="G174" s="99" t="s">
        <v>85</v>
      </c>
      <c r="H174" s="20"/>
      <c r="I174" s="20"/>
      <c r="J174" s="20"/>
      <c r="K174" s="20" t="s">
        <v>598</v>
      </c>
      <c r="L174" s="20"/>
      <c r="M174" s="20" t="s">
        <v>358</v>
      </c>
      <c r="N174" s="55">
        <f>260446.45+634000</f>
        <v>894446.45</v>
      </c>
      <c r="O174" s="55">
        <f>634000+260446.45</f>
        <v>894446.45</v>
      </c>
      <c r="P174" s="55">
        <v>64000</v>
      </c>
      <c r="Q174" s="55">
        <v>64000</v>
      </c>
      <c r="R174" s="55">
        <v>64000</v>
      </c>
      <c r="S174" s="55">
        <v>64000</v>
      </c>
    </row>
    <row r="175" spans="1:19" ht="165" x14ac:dyDescent="0.25">
      <c r="A175" s="90"/>
      <c r="B175" s="91"/>
      <c r="C175" s="90"/>
      <c r="D175" s="103"/>
      <c r="E175" s="99"/>
      <c r="F175" s="99"/>
      <c r="G175" s="99"/>
      <c r="H175" s="20"/>
      <c r="I175" s="20"/>
      <c r="J175" s="20"/>
      <c r="K175" s="20" t="s">
        <v>599</v>
      </c>
      <c r="L175" s="20"/>
      <c r="M175" s="20" t="s">
        <v>49</v>
      </c>
      <c r="N175" s="62"/>
      <c r="O175" s="62"/>
      <c r="P175" s="62"/>
      <c r="Q175" s="62"/>
      <c r="R175" s="62"/>
      <c r="S175" s="62"/>
    </row>
    <row r="176" spans="1:19" ht="165" x14ac:dyDescent="0.25">
      <c r="A176" s="92"/>
      <c r="B176" s="94"/>
      <c r="C176" s="92"/>
      <c r="D176" s="93"/>
      <c r="E176" s="99"/>
      <c r="F176" s="99"/>
      <c r="G176" s="99"/>
      <c r="H176" s="20"/>
      <c r="I176" s="20"/>
      <c r="J176" s="20"/>
      <c r="K176" s="20" t="s">
        <v>531</v>
      </c>
      <c r="L176" s="20"/>
      <c r="M176" s="20" t="s">
        <v>424</v>
      </c>
      <c r="N176" s="56"/>
      <c r="O176" s="56"/>
      <c r="P176" s="56"/>
      <c r="Q176" s="56"/>
      <c r="R176" s="56"/>
      <c r="S176" s="56"/>
    </row>
    <row r="177" spans="1:19" ht="75" x14ac:dyDescent="0.25">
      <c r="A177" s="87">
        <v>2555</v>
      </c>
      <c r="B177" s="87" t="s">
        <v>267</v>
      </c>
      <c r="C177" s="87">
        <v>911</v>
      </c>
      <c r="D177" s="89" t="s">
        <v>268</v>
      </c>
      <c r="E177" s="88" t="s">
        <v>20</v>
      </c>
      <c r="F177" s="88" t="s">
        <v>269</v>
      </c>
      <c r="G177" s="88" t="s">
        <v>85</v>
      </c>
      <c r="H177" s="20" t="s">
        <v>270</v>
      </c>
      <c r="I177" s="20" t="s">
        <v>271</v>
      </c>
      <c r="J177" s="20" t="s">
        <v>272</v>
      </c>
      <c r="K177" s="20" t="s">
        <v>29</v>
      </c>
      <c r="L177" s="20" t="s">
        <v>157</v>
      </c>
      <c r="M177" s="20" t="s">
        <v>30</v>
      </c>
      <c r="N177" s="55">
        <f>64388140.84-634000</f>
        <v>63754140.840000004</v>
      </c>
      <c r="O177" s="55">
        <f>63786250.3-634000</f>
        <v>63152250.299999997</v>
      </c>
      <c r="P177" s="55">
        <v>32690988</v>
      </c>
      <c r="Q177" s="55">
        <v>32690988</v>
      </c>
      <c r="R177" s="55">
        <v>32690988</v>
      </c>
      <c r="S177" s="55">
        <v>32690988</v>
      </c>
    </row>
    <row r="178" spans="1:19" ht="30" x14ac:dyDescent="0.25">
      <c r="A178" s="90"/>
      <c r="B178" s="90"/>
      <c r="C178" s="90"/>
      <c r="D178" s="103"/>
      <c r="E178" s="91"/>
      <c r="F178" s="91"/>
      <c r="G178" s="91"/>
      <c r="H178" s="20"/>
      <c r="I178" s="20"/>
      <c r="J178" s="20"/>
      <c r="K178" s="25" t="s">
        <v>334</v>
      </c>
      <c r="L178" s="20"/>
      <c r="M178" s="20" t="s">
        <v>333</v>
      </c>
      <c r="N178" s="62"/>
      <c r="O178" s="62"/>
      <c r="P178" s="62"/>
      <c r="Q178" s="62"/>
      <c r="R178" s="62"/>
      <c r="S178" s="62"/>
    </row>
    <row r="179" spans="1:19" ht="75" x14ac:dyDescent="0.25">
      <c r="A179" s="90"/>
      <c r="B179" s="90"/>
      <c r="C179" s="90"/>
      <c r="D179" s="103"/>
      <c r="E179" s="91"/>
      <c r="F179" s="91"/>
      <c r="G179" s="91"/>
      <c r="H179" s="20"/>
      <c r="I179" s="20"/>
      <c r="J179" s="20"/>
      <c r="K179" s="25" t="s">
        <v>421</v>
      </c>
      <c r="L179" s="20"/>
      <c r="M179" s="20" t="s">
        <v>422</v>
      </c>
      <c r="N179" s="62"/>
      <c r="O179" s="62"/>
      <c r="P179" s="62"/>
      <c r="Q179" s="62"/>
      <c r="R179" s="62"/>
      <c r="S179" s="62"/>
    </row>
    <row r="180" spans="1:19" ht="105" x14ac:dyDescent="0.25">
      <c r="A180" s="90"/>
      <c r="B180" s="90"/>
      <c r="C180" s="90"/>
      <c r="D180" s="103"/>
      <c r="E180" s="94"/>
      <c r="F180" s="94"/>
      <c r="G180" s="94"/>
      <c r="H180" s="20"/>
      <c r="I180" s="20"/>
      <c r="J180" s="20"/>
      <c r="K180" s="25" t="s">
        <v>273</v>
      </c>
      <c r="L180" s="192"/>
      <c r="M180" s="20" t="s">
        <v>274</v>
      </c>
      <c r="N180" s="56"/>
      <c r="O180" s="56"/>
      <c r="P180" s="56"/>
      <c r="Q180" s="56"/>
      <c r="R180" s="56"/>
      <c r="S180" s="56"/>
    </row>
    <row r="181" spans="1:19" ht="135" x14ac:dyDescent="0.25">
      <c r="A181" s="96"/>
      <c r="B181" s="96"/>
      <c r="C181" s="96"/>
      <c r="D181" s="97"/>
      <c r="E181" s="47"/>
      <c r="F181" s="47"/>
      <c r="G181" s="47"/>
      <c r="H181" s="20"/>
      <c r="I181" s="20"/>
      <c r="J181" s="20"/>
      <c r="K181" s="25" t="s">
        <v>452</v>
      </c>
      <c r="L181" s="192"/>
      <c r="M181" s="20" t="s">
        <v>453</v>
      </c>
      <c r="N181" s="49"/>
      <c r="O181" s="49"/>
      <c r="P181" s="49"/>
      <c r="Q181" s="48"/>
      <c r="R181" s="48"/>
      <c r="S181" s="48"/>
    </row>
    <row r="182" spans="1:19" s="70" customFormat="1" ht="114" x14ac:dyDescent="0.2">
      <c r="A182" s="133">
        <v>2600</v>
      </c>
      <c r="B182" s="132" t="s">
        <v>438</v>
      </c>
      <c r="C182" s="35"/>
      <c r="D182" s="144"/>
      <c r="E182" s="35"/>
      <c r="F182" s="35"/>
      <c r="G182" s="35"/>
      <c r="H182" s="35"/>
      <c r="I182" s="35"/>
      <c r="J182" s="35"/>
      <c r="K182" s="35"/>
      <c r="L182" s="35"/>
      <c r="M182" s="35"/>
      <c r="N182" s="134">
        <f t="shared" ref="N182:S182" si="24">N183+N185</f>
        <v>39216268.280000001</v>
      </c>
      <c r="O182" s="134">
        <f t="shared" si="24"/>
        <v>39113065.409999996</v>
      </c>
      <c r="P182" s="134">
        <f t="shared" si="24"/>
        <v>44942071</v>
      </c>
      <c r="Q182" s="134">
        <f t="shared" si="24"/>
        <v>44942071</v>
      </c>
      <c r="R182" s="134">
        <f t="shared" si="24"/>
        <v>44942071</v>
      </c>
      <c r="S182" s="134">
        <f t="shared" si="24"/>
        <v>44942071</v>
      </c>
    </row>
    <row r="183" spans="1:19" ht="90" x14ac:dyDescent="0.25">
      <c r="A183" s="87" t="s">
        <v>430</v>
      </c>
      <c r="B183" s="88" t="s">
        <v>493</v>
      </c>
      <c r="C183" s="87">
        <v>911</v>
      </c>
      <c r="D183" s="89" t="s">
        <v>264</v>
      </c>
      <c r="E183" s="20" t="s">
        <v>20</v>
      </c>
      <c r="F183" s="20" t="s">
        <v>33</v>
      </c>
      <c r="G183" s="42" t="s">
        <v>21</v>
      </c>
      <c r="H183" s="20" t="s">
        <v>24</v>
      </c>
      <c r="I183" s="115" t="s">
        <v>25</v>
      </c>
      <c r="J183" s="42" t="s">
        <v>26</v>
      </c>
      <c r="K183" s="20" t="s">
        <v>29</v>
      </c>
      <c r="L183" s="111"/>
      <c r="M183" s="20" t="s">
        <v>30</v>
      </c>
      <c r="N183" s="55">
        <v>4405443</v>
      </c>
      <c r="O183" s="55">
        <v>4379755.72</v>
      </c>
      <c r="P183" s="55">
        <v>5017208</v>
      </c>
      <c r="Q183" s="55">
        <v>5017208</v>
      </c>
      <c r="R183" s="55">
        <v>5017208</v>
      </c>
      <c r="S183" s="55">
        <v>5017208</v>
      </c>
    </row>
    <row r="184" spans="1:19" ht="285" x14ac:dyDescent="0.25">
      <c r="A184" s="92"/>
      <c r="B184" s="94"/>
      <c r="C184" s="92"/>
      <c r="D184" s="93"/>
      <c r="E184" s="42" t="s">
        <v>22</v>
      </c>
      <c r="F184" s="114" t="s">
        <v>25</v>
      </c>
      <c r="G184" s="42" t="s">
        <v>23</v>
      </c>
      <c r="H184" s="20" t="s">
        <v>27</v>
      </c>
      <c r="I184" s="115" t="s">
        <v>25</v>
      </c>
      <c r="J184" s="20" t="s">
        <v>28</v>
      </c>
      <c r="K184" s="20" t="s">
        <v>600</v>
      </c>
      <c r="L184" s="115"/>
      <c r="M184" s="20" t="s">
        <v>265</v>
      </c>
      <c r="N184" s="56"/>
      <c r="O184" s="56"/>
      <c r="P184" s="56"/>
      <c r="Q184" s="56"/>
      <c r="R184" s="56"/>
      <c r="S184" s="56"/>
    </row>
    <row r="185" spans="1:19" ht="45" x14ac:dyDescent="0.25">
      <c r="A185" s="87">
        <v>2608</v>
      </c>
      <c r="B185" s="88" t="s">
        <v>338</v>
      </c>
      <c r="C185" s="87">
        <v>911</v>
      </c>
      <c r="D185" s="89" t="s">
        <v>264</v>
      </c>
      <c r="E185" s="88" t="s">
        <v>20</v>
      </c>
      <c r="F185" s="88" t="s">
        <v>35</v>
      </c>
      <c r="G185" s="88" t="s">
        <v>21</v>
      </c>
      <c r="H185" s="193"/>
      <c r="I185" s="87"/>
      <c r="J185" s="87"/>
      <c r="K185" s="20" t="s">
        <v>29</v>
      </c>
      <c r="L185" s="111"/>
      <c r="M185" s="20" t="s">
        <v>30</v>
      </c>
      <c r="N185" s="55">
        <v>34810825.280000001</v>
      </c>
      <c r="O185" s="55">
        <v>34733309.689999998</v>
      </c>
      <c r="P185" s="55">
        <v>39924863</v>
      </c>
      <c r="Q185" s="55">
        <v>39924863</v>
      </c>
      <c r="R185" s="55">
        <v>39924863</v>
      </c>
      <c r="S185" s="55">
        <v>39924863</v>
      </c>
    </row>
    <row r="186" spans="1:19" ht="75.75" customHeight="1" x14ac:dyDescent="0.25">
      <c r="A186" s="92"/>
      <c r="B186" s="94"/>
      <c r="C186" s="92"/>
      <c r="D186" s="93"/>
      <c r="E186" s="94"/>
      <c r="F186" s="94"/>
      <c r="G186" s="94"/>
      <c r="H186" s="194"/>
      <c r="I186" s="92"/>
      <c r="J186" s="92"/>
      <c r="K186" s="20" t="s">
        <v>331</v>
      </c>
      <c r="L186" s="111"/>
      <c r="M186" s="20" t="s">
        <v>332</v>
      </c>
      <c r="N186" s="56"/>
      <c r="O186" s="56"/>
      <c r="P186" s="56"/>
      <c r="Q186" s="56"/>
      <c r="R186" s="56"/>
      <c r="S186" s="56"/>
    </row>
    <row r="187" spans="1:19" s="70" customFormat="1" ht="14.25" x14ac:dyDescent="0.2">
      <c r="A187" s="141"/>
      <c r="B187" s="36" t="s">
        <v>281</v>
      </c>
      <c r="C187" s="141">
        <v>915</v>
      </c>
      <c r="D187" s="142"/>
      <c r="E187" s="36"/>
      <c r="F187" s="36"/>
      <c r="G187" s="36"/>
      <c r="H187" s="36"/>
      <c r="I187" s="36"/>
      <c r="J187" s="36"/>
      <c r="K187" s="36"/>
      <c r="L187" s="36"/>
      <c r="M187" s="36"/>
      <c r="N187" s="143">
        <f t="shared" ref="N187:S187" si="25">N188+N201</f>
        <v>184799429</v>
      </c>
      <c r="O187" s="143">
        <f t="shared" si="25"/>
        <v>178929044.84999999</v>
      </c>
      <c r="P187" s="143">
        <f t="shared" si="25"/>
        <v>246140721</v>
      </c>
      <c r="Q187" s="143">
        <f t="shared" si="25"/>
        <v>308657181</v>
      </c>
      <c r="R187" s="143">
        <f t="shared" si="25"/>
        <v>244305921</v>
      </c>
      <c r="S187" s="143">
        <f t="shared" si="25"/>
        <v>244305921</v>
      </c>
    </row>
    <row r="188" spans="1:19" s="70" customFormat="1" ht="57" x14ac:dyDescent="0.2">
      <c r="A188" s="33">
        <v>2500</v>
      </c>
      <c r="B188" s="160" t="s">
        <v>437</v>
      </c>
      <c r="C188" s="35"/>
      <c r="D188" s="144"/>
      <c r="E188" s="35"/>
      <c r="F188" s="35"/>
      <c r="G188" s="35"/>
      <c r="H188" s="35"/>
      <c r="I188" s="35"/>
      <c r="J188" s="35"/>
      <c r="K188" s="35"/>
      <c r="L188" s="35"/>
      <c r="M188" s="35"/>
      <c r="N188" s="177">
        <f t="shared" ref="N188:S188" si="26">N189+N192+N197</f>
        <v>178707737</v>
      </c>
      <c r="O188" s="177">
        <f t="shared" si="26"/>
        <v>172963826.19</v>
      </c>
      <c r="P188" s="177">
        <f t="shared" si="26"/>
        <v>240888999</v>
      </c>
      <c r="Q188" s="177">
        <f t="shared" si="26"/>
        <v>303475459</v>
      </c>
      <c r="R188" s="177">
        <f t="shared" si="26"/>
        <v>239124199</v>
      </c>
      <c r="S188" s="177">
        <f t="shared" si="26"/>
        <v>239124199</v>
      </c>
    </row>
    <row r="189" spans="1:19" ht="90" customHeight="1" x14ac:dyDescent="0.25">
      <c r="A189" s="87">
        <v>2525</v>
      </c>
      <c r="B189" s="88" t="s">
        <v>443</v>
      </c>
      <c r="C189" s="87">
        <v>915</v>
      </c>
      <c r="D189" s="89" t="s">
        <v>266</v>
      </c>
      <c r="E189" s="20" t="s">
        <v>20</v>
      </c>
      <c r="F189" s="20" t="s">
        <v>152</v>
      </c>
      <c r="G189" s="20" t="s">
        <v>85</v>
      </c>
      <c r="H189" s="20" t="s">
        <v>155</v>
      </c>
      <c r="I189" s="20" t="s">
        <v>48</v>
      </c>
      <c r="J189" s="20" t="s">
        <v>156</v>
      </c>
      <c r="K189" s="20" t="s">
        <v>29</v>
      </c>
      <c r="L189" s="20" t="s">
        <v>157</v>
      </c>
      <c r="M189" s="27" t="s">
        <v>30</v>
      </c>
      <c r="N189" s="55">
        <v>53616215.170000002</v>
      </c>
      <c r="O189" s="55">
        <v>51016585.130000003</v>
      </c>
      <c r="P189" s="55">
        <v>62915104</v>
      </c>
      <c r="Q189" s="55">
        <v>61404104</v>
      </c>
      <c r="R189" s="55">
        <v>61404104</v>
      </c>
      <c r="S189" s="55">
        <v>61404104</v>
      </c>
    </row>
    <row r="190" spans="1:19" ht="120" x14ac:dyDescent="0.25">
      <c r="A190" s="90"/>
      <c r="B190" s="91"/>
      <c r="C190" s="90"/>
      <c r="D190" s="103"/>
      <c r="E190" s="20"/>
      <c r="F190" s="20"/>
      <c r="G190" s="20"/>
      <c r="H190" s="20"/>
      <c r="I190" s="20"/>
      <c r="J190" s="20"/>
      <c r="K190" s="25" t="s">
        <v>329</v>
      </c>
      <c r="L190" s="20"/>
      <c r="M190" s="27" t="s">
        <v>330</v>
      </c>
      <c r="N190" s="62"/>
      <c r="O190" s="62"/>
      <c r="P190" s="62"/>
      <c r="Q190" s="62"/>
      <c r="R190" s="62"/>
      <c r="S190" s="62"/>
    </row>
    <row r="191" spans="1:19" ht="135" x14ac:dyDescent="0.25">
      <c r="A191" s="90"/>
      <c r="B191" s="91"/>
      <c r="C191" s="90"/>
      <c r="D191" s="103"/>
      <c r="E191" s="20"/>
      <c r="F191" s="20"/>
      <c r="G191" s="20"/>
      <c r="H191" s="20"/>
      <c r="I191" s="20"/>
      <c r="J191" s="20"/>
      <c r="K191" s="20" t="s">
        <v>423</v>
      </c>
      <c r="L191" s="20"/>
      <c r="M191" s="27" t="s">
        <v>414</v>
      </c>
      <c r="N191" s="62"/>
      <c r="O191" s="62"/>
      <c r="P191" s="62"/>
      <c r="Q191" s="62"/>
      <c r="R191" s="62"/>
      <c r="S191" s="62"/>
    </row>
    <row r="192" spans="1:19" ht="90" x14ac:dyDescent="0.25">
      <c r="A192" s="87">
        <v>2530</v>
      </c>
      <c r="B192" s="88" t="s">
        <v>284</v>
      </c>
      <c r="C192" s="87">
        <v>915</v>
      </c>
      <c r="D192" s="89" t="s">
        <v>285</v>
      </c>
      <c r="E192" s="20" t="s">
        <v>20</v>
      </c>
      <c r="F192" s="20" t="s">
        <v>286</v>
      </c>
      <c r="G192" s="20" t="s">
        <v>85</v>
      </c>
      <c r="H192" s="20" t="s">
        <v>292</v>
      </c>
      <c r="I192" s="20" t="s">
        <v>279</v>
      </c>
      <c r="J192" s="20" t="s">
        <v>293</v>
      </c>
      <c r="K192" s="20"/>
      <c r="L192" s="20"/>
      <c r="M192" s="20"/>
      <c r="N192" s="62">
        <v>60312807.719999999</v>
      </c>
      <c r="O192" s="62">
        <v>58599080.009999998</v>
      </c>
      <c r="P192" s="55">
        <v>61772381</v>
      </c>
      <c r="Q192" s="55">
        <v>60467277</v>
      </c>
      <c r="R192" s="62">
        <v>62816017</v>
      </c>
      <c r="S192" s="62">
        <v>62816017</v>
      </c>
    </row>
    <row r="193" spans="1:19" ht="210" x14ac:dyDescent="0.25">
      <c r="A193" s="90"/>
      <c r="B193" s="91"/>
      <c r="C193" s="90"/>
      <c r="D193" s="103"/>
      <c r="E193" s="20"/>
      <c r="F193" s="20"/>
      <c r="G193" s="20"/>
      <c r="H193" s="20"/>
      <c r="I193" s="20"/>
      <c r="J193" s="20"/>
      <c r="K193" s="20" t="s">
        <v>473</v>
      </c>
      <c r="L193" s="20"/>
      <c r="M193" s="20" t="s">
        <v>474</v>
      </c>
      <c r="N193" s="62"/>
      <c r="O193" s="62"/>
      <c r="P193" s="62"/>
      <c r="Q193" s="62"/>
      <c r="R193" s="62"/>
      <c r="S193" s="62"/>
    </row>
    <row r="194" spans="1:19" ht="135" x14ac:dyDescent="0.25">
      <c r="A194" s="90"/>
      <c r="B194" s="91"/>
      <c r="C194" s="90"/>
      <c r="D194" s="103"/>
      <c r="E194" s="20" t="s">
        <v>287</v>
      </c>
      <c r="F194" s="20" t="s">
        <v>48</v>
      </c>
      <c r="G194" s="20" t="s">
        <v>288</v>
      </c>
      <c r="H194" s="20"/>
      <c r="I194" s="20"/>
      <c r="J194" s="20"/>
      <c r="K194" s="25" t="s">
        <v>457</v>
      </c>
      <c r="L194" s="20"/>
      <c r="M194" s="20" t="s">
        <v>458</v>
      </c>
      <c r="N194" s="62"/>
      <c r="O194" s="62"/>
      <c r="P194" s="62"/>
      <c r="Q194" s="62"/>
      <c r="R194" s="62"/>
      <c r="S194" s="62"/>
    </row>
    <row r="195" spans="1:19" ht="180" x14ac:dyDescent="0.25">
      <c r="A195" s="90"/>
      <c r="B195" s="91"/>
      <c r="C195" s="90"/>
      <c r="D195" s="103"/>
      <c r="E195" s="20"/>
      <c r="F195" s="20"/>
      <c r="G195" s="20"/>
      <c r="H195" s="20"/>
      <c r="I195" s="20"/>
      <c r="J195" s="20"/>
      <c r="K195" s="20" t="s">
        <v>475</v>
      </c>
      <c r="L195" s="20"/>
      <c r="M195" s="20" t="s">
        <v>474</v>
      </c>
      <c r="N195" s="62"/>
      <c r="O195" s="62"/>
      <c r="P195" s="62"/>
      <c r="Q195" s="62"/>
      <c r="R195" s="62"/>
      <c r="S195" s="62"/>
    </row>
    <row r="196" spans="1:19" ht="90" x14ac:dyDescent="0.25">
      <c r="A196" s="90"/>
      <c r="B196" s="91"/>
      <c r="C196" s="90"/>
      <c r="D196" s="103"/>
      <c r="E196" s="20" t="s">
        <v>289</v>
      </c>
      <c r="F196" s="20" t="s">
        <v>291</v>
      </c>
      <c r="G196" s="20" t="s">
        <v>290</v>
      </c>
      <c r="H196" s="20"/>
      <c r="I196" s="20"/>
      <c r="J196" s="20"/>
      <c r="K196" s="25" t="s">
        <v>601</v>
      </c>
      <c r="L196" s="20"/>
      <c r="M196" s="20" t="s">
        <v>459</v>
      </c>
      <c r="N196" s="62"/>
      <c r="O196" s="62"/>
      <c r="P196" s="62"/>
      <c r="Q196" s="62"/>
      <c r="R196" s="62"/>
      <c r="S196" s="62"/>
    </row>
    <row r="197" spans="1:19" ht="105" x14ac:dyDescent="0.25">
      <c r="A197" s="87">
        <v>2531</v>
      </c>
      <c r="B197" s="88" t="s">
        <v>295</v>
      </c>
      <c r="C197" s="87">
        <v>915</v>
      </c>
      <c r="D197" s="89" t="s">
        <v>285</v>
      </c>
      <c r="E197" s="20" t="s">
        <v>20</v>
      </c>
      <c r="F197" s="20" t="s">
        <v>296</v>
      </c>
      <c r="G197" s="20" t="s">
        <v>85</v>
      </c>
      <c r="H197" s="20" t="s">
        <v>227</v>
      </c>
      <c r="I197" s="20" t="s">
        <v>300</v>
      </c>
      <c r="J197" s="20" t="s">
        <v>228</v>
      </c>
      <c r="K197" s="20" t="s">
        <v>301</v>
      </c>
      <c r="L197" s="20"/>
      <c r="M197" s="20" t="s">
        <v>294</v>
      </c>
      <c r="N197" s="55">
        <f>125091521.83-N192</f>
        <v>64778714.109999999</v>
      </c>
      <c r="O197" s="55">
        <f>121947241.06-O192</f>
        <v>63348161.050000004</v>
      </c>
      <c r="P197" s="55">
        <f>177973895-P192</f>
        <v>116201514</v>
      </c>
      <c r="Q197" s="55">
        <f>242071355-Q192</f>
        <v>181604078</v>
      </c>
      <c r="R197" s="55">
        <f>177720095-R192</f>
        <v>114904078</v>
      </c>
      <c r="S197" s="55">
        <v>114904078</v>
      </c>
    </row>
    <row r="198" spans="1:19" ht="150" x14ac:dyDescent="0.25">
      <c r="A198" s="90"/>
      <c r="B198" s="91"/>
      <c r="C198" s="90"/>
      <c r="D198" s="103"/>
      <c r="E198" s="20" t="s">
        <v>297</v>
      </c>
      <c r="F198" s="20" t="s">
        <v>298</v>
      </c>
      <c r="G198" s="20" t="s">
        <v>299</v>
      </c>
      <c r="H198" s="20"/>
      <c r="I198" s="20"/>
      <c r="J198" s="20"/>
      <c r="K198" s="20" t="s">
        <v>302</v>
      </c>
      <c r="L198" s="20"/>
      <c r="M198" s="20" t="s">
        <v>294</v>
      </c>
      <c r="N198" s="62"/>
      <c r="O198" s="62"/>
      <c r="P198" s="62"/>
      <c r="Q198" s="62"/>
      <c r="R198" s="62"/>
      <c r="S198" s="62"/>
    </row>
    <row r="199" spans="1:19" ht="150" x14ac:dyDescent="0.25">
      <c r="A199" s="90"/>
      <c r="B199" s="91"/>
      <c r="C199" s="90"/>
      <c r="D199" s="103"/>
      <c r="E199" s="20"/>
      <c r="F199" s="20"/>
      <c r="G199" s="20"/>
      <c r="H199" s="20"/>
      <c r="I199" s="20"/>
      <c r="J199" s="20"/>
      <c r="K199" s="25" t="s">
        <v>512</v>
      </c>
      <c r="L199" s="25"/>
      <c r="M199" s="25" t="s">
        <v>513</v>
      </c>
      <c r="N199" s="62"/>
      <c r="O199" s="62"/>
      <c r="P199" s="62"/>
      <c r="Q199" s="62"/>
      <c r="R199" s="62"/>
      <c r="S199" s="62"/>
    </row>
    <row r="200" spans="1:19" ht="150" x14ac:dyDescent="0.25">
      <c r="A200" s="92"/>
      <c r="B200" s="94"/>
      <c r="C200" s="92"/>
      <c r="D200" s="93"/>
      <c r="E200" s="20"/>
      <c r="F200" s="20"/>
      <c r="G200" s="20"/>
      <c r="H200" s="20"/>
      <c r="I200" s="20"/>
      <c r="J200" s="20"/>
      <c r="K200" s="20" t="s">
        <v>303</v>
      </c>
      <c r="L200" s="20"/>
      <c r="M200" s="20" t="s">
        <v>294</v>
      </c>
      <c r="N200" s="62"/>
      <c r="O200" s="62"/>
      <c r="P200" s="62"/>
      <c r="Q200" s="62"/>
      <c r="R200" s="62"/>
      <c r="S200" s="62"/>
    </row>
    <row r="201" spans="1:19" s="70" customFormat="1" ht="114" x14ac:dyDescent="0.2">
      <c r="A201" s="133">
        <v>2600</v>
      </c>
      <c r="B201" s="132" t="s">
        <v>438</v>
      </c>
      <c r="C201" s="35"/>
      <c r="D201" s="144"/>
      <c r="E201" s="35"/>
      <c r="F201" s="35"/>
      <c r="G201" s="35"/>
      <c r="H201" s="35"/>
      <c r="I201" s="35"/>
      <c r="J201" s="35"/>
      <c r="K201" s="35"/>
      <c r="L201" s="35"/>
      <c r="M201" s="35"/>
      <c r="N201" s="134">
        <f t="shared" ref="N201:S201" si="27">N202</f>
        <v>6091692</v>
      </c>
      <c r="O201" s="134">
        <f t="shared" si="27"/>
        <v>5965218.6600000001</v>
      </c>
      <c r="P201" s="134">
        <f t="shared" si="27"/>
        <v>5251722</v>
      </c>
      <c r="Q201" s="134">
        <f t="shared" si="27"/>
        <v>5181722</v>
      </c>
      <c r="R201" s="134">
        <f t="shared" si="27"/>
        <v>5181722</v>
      </c>
      <c r="S201" s="134">
        <f t="shared" si="27"/>
        <v>5181722</v>
      </c>
    </row>
    <row r="202" spans="1:19" ht="90" x14ac:dyDescent="0.25">
      <c r="A202" s="87" t="s">
        <v>430</v>
      </c>
      <c r="B202" s="88" t="s">
        <v>493</v>
      </c>
      <c r="C202" s="87">
        <v>915</v>
      </c>
      <c r="D202" s="89" t="s">
        <v>282</v>
      </c>
      <c r="E202" s="20" t="s">
        <v>20</v>
      </c>
      <c r="F202" s="20" t="s">
        <v>33</v>
      </c>
      <c r="G202" s="42" t="s">
        <v>21</v>
      </c>
      <c r="H202" s="20" t="s">
        <v>24</v>
      </c>
      <c r="I202" s="115" t="s">
        <v>25</v>
      </c>
      <c r="J202" s="42" t="s">
        <v>26</v>
      </c>
      <c r="K202" s="20" t="s">
        <v>29</v>
      </c>
      <c r="L202" s="111"/>
      <c r="M202" s="20" t="s">
        <v>30</v>
      </c>
      <c r="N202" s="55">
        <v>6091692</v>
      </c>
      <c r="O202" s="55">
        <v>5965218.6600000001</v>
      </c>
      <c r="P202" s="55">
        <v>5251722</v>
      </c>
      <c r="Q202" s="55">
        <v>5181722</v>
      </c>
      <c r="R202" s="55">
        <v>5181722</v>
      </c>
      <c r="S202" s="55">
        <v>5181722</v>
      </c>
    </row>
    <row r="203" spans="1:19" ht="285" x14ac:dyDescent="0.25">
      <c r="A203" s="92"/>
      <c r="B203" s="94"/>
      <c r="C203" s="92"/>
      <c r="D203" s="93"/>
      <c r="E203" s="42" t="s">
        <v>22</v>
      </c>
      <c r="F203" s="114" t="s">
        <v>25</v>
      </c>
      <c r="G203" s="42" t="s">
        <v>23</v>
      </c>
      <c r="H203" s="20" t="s">
        <v>27</v>
      </c>
      <c r="I203" s="115" t="s">
        <v>25</v>
      </c>
      <c r="J203" s="20" t="s">
        <v>28</v>
      </c>
      <c r="K203" s="20" t="s">
        <v>283</v>
      </c>
      <c r="L203" s="115"/>
      <c r="M203" s="20" t="s">
        <v>265</v>
      </c>
      <c r="N203" s="56"/>
      <c r="O203" s="56"/>
      <c r="P203" s="56"/>
      <c r="Q203" s="56"/>
      <c r="R203" s="56"/>
      <c r="S203" s="56"/>
    </row>
    <row r="204" spans="1:19" s="70" customFormat="1" ht="28.5" x14ac:dyDescent="0.2">
      <c r="A204" s="141"/>
      <c r="B204" s="36" t="s">
        <v>304</v>
      </c>
      <c r="C204" s="141">
        <v>916</v>
      </c>
      <c r="D204" s="142"/>
      <c r="E204" s="36"/>
      <c r="F204" s="36"/>
      <c r="G204" s="36"/>
      <c r="H204" s="36"/>
      <c r="I204" s="36"/>
      <c r="J204" s="36"/>
      <c r="K204" s="36"/>
      <c r="L204" s="36"/>
      <c r="M204" s="36"/>
      <c r="N204" s="143">
        <f t="shared" ref="N204:S204" si="28">N205+N213</f>
        <v>19197993</v>
      </c>
      <c r="O204" s="143">
        <f t="shared" si="28"/>
        <v>18944056.100000001</v>
      </c>
      <c r="P204" s="143">
        <f t="shared" si="28"/>
        <v>19616272</v>
      </c>
      <c r="Q204" s="143">
        <f t="shared" si="28"/>
        <v>19616272</v>
      </c>
      <c r="R204" s="143">
        <f t="shared" si="28"/>
        <v>20116272</v>
      </c>
      <c r="S204" s="143">
        <f t="shared" si="28"/>
        <v>20116272</v>
      </c>
    </row>
    <row r="205" spans="1:19" s="70" customFormat="1" ht="57" x14ac:dyDescent="0.2">
      <c r="A205" s="33">
        <v>2500</v>
      </c>
      <c r="B205" s="160" t="s">
        <v>437</v>
      </c>
      <c r="C205" s="40"/>
      <c r="D205" s="195"/>
      <c r="E205" s="40"/>
      <c r="F205" s="40"/>
      <c r="G205" s="40"/>
      <c r="H205" s="40"/>
      <c r="I205" s="40"/>
      <c r="J205" s="40"/>
      <c r="K205" s="40"/>
      <c r="L205" s="40"/>
      <c r="M205" s="40"/>
      <c r="N205" s="196">
        <f t="shared" ref="N205:S205" si="29">N209+N211+N206</f>
        <v>2806999.84</v>
      </c>
      <c r="O205" s="196">
        <f t="shared" si="29"/>
        <v>2795499.51</v>
      </c>
      <c r="P205" s="196">
        <f t="shared" si="29"/>
        <v>2700000</v>
      </c>
      <c r="Q205" s="196">
        <f t="shared" si="29"/>
        <v>2700000</v>
      </c>
      <c r="R205" s="196">
        <f t="shared" si="29"/>
        <v>3200000</v>
      </c>
      <c r="S205" s="196">
        <f t="shared" si="29"/>
        <v>3200000</v>
      </c>
    </row>
    <row r="206" spans="1:19" ht="225" x14ac:dyDescent="0.25">
      <c r="A206" s="87">
        <v>2504</v>
      </c>
      <c r="B206" s="88" t="s">
        <v>84</v>
      </c>
      <c r="C206" s="104">
        <v>916</v>
      </c>
      <c r="D206" s="197" t="s">
        <v>34</v>
      </c>
      <c r="E206" s="20" t="s">
        <v>20</v>
      </c>
      <c r="F206" s="20" t="s">
        <v>88</v>
      </c>
      <c r="G206" s="20" t="s">
        <v>85</v>
      </c>
      <c r="H206" s="20" t="s">
        <v>95</v>
      </c>
      <c r="I206" s="20" t="s">
        <v>48</v>
      </c>
      <c r="J206" s="20" t="s">
        <v>26</v>
      </c>
      <c r="K206" s="20" t="s">
        <v>371</v>
      </c>
      <c r="L206" s="20"/>
      <c r="M206" s="20" t="s">
        <v>100</v>
      </c>
      <c r="N206" s="63">
        <v>46500</v>
      </c>
      <c r="O206" s="63">
        <v>41000</v>
      </c>
      <c r="P206" s="55">
        <v>100000</v>
      </c>
      <c r="Q206" s="55">
        <v>100000</v>
      </c>
      <c r="R206" s="63">
        <v>100000</v>
      </c>
      <c r="S206" s="63">
        <v>100000</v>
      </c>
    </row>
    <row r="207" spans="1:19" ht="90" x14ac:dyDescent="0.25">
      <c r="A207" s="90"/>
      <c r="B207" s="91"/>
      <c r="C207" s="107"/>
      <c r="D207" s="198"/>
      <c r="E207" s="20" t="s">
        <v>86</v>
      </c>
      <c r="F207" s="20" t="s">
        <v>87</v>
      </c>
      <c r="G207" s="20" t="s">
        <v>89</v>
      </c>
      <c r="H207" s="20" t="s">
        <v>96</v>
      </c>
      <c r="I207" s="20" t="s">
        <v>48</v>
      </c>
      <c r="J207" s="20" t="s">
        <v>97</v>
      </c>
      <c r="K207" s="20" t="s">
        <v>476</v>
      </c>
      <c r="L207" s="20"/>
      <c r="M207" s="20" t="s">
        <v>477</v>
      </c>
      <c r="N207" s="95"/>
      <c r="O207" s="95"/>
      <c r="P207" s="62"/>
      <c r="Q207" s="62"/>
      <c r="R207" s="95"/>
      <c r="S207" s="95"/>
    </row>
    <row r="208" spans="1:19" ht="180" x14ac:dyDescent="0.25">
      <c r="A208" s="90"/>
      <c r="B208" s="91"/>
      <c r="C208" s="105"/>
      <c r="D208" s="199"/>
      <c r="E208" s="20" t="s">
        <v>90</v>
      </c>
      <c r="F208" s="20" t="s">
        <v>91</v>
      </c>
      <c r="G208" s="20" t="s">
        <v>92</v>
      </c>
      <c r="H208" s="20" t="s">
        <v>98</v>
      </c>
      <c r="I208" s="20" t="s">
        <v>48</v>
      </c>
      <c r="J208" s="20" t="s">
        <v>99</v>
      </c>
      <c r="K208" s="20" t="s">
        <v>103</v>
      </c>
      <c r="L208" s="20"/>
      <c r="M208" s="20" t="s">
        <v>104</v>
      </c>
      <c r="N208" s="64"/>
      <c r="O208" s="64"/>
      <c r="P208" s="56"/>
      <c r="Q208" s="56"/>
      <c r="R208" s="64"/>
      <c r="S208" s="64"/>
    </row>
    <row r="209" spans="1:19" ht="361.5" customHeight="1" x14ac:dyDescent="0.25">
      <c r="A209" s="87">
        <v>2544</v>
      </c>
      <c r="B209" s="88" t="s">
        <v>492</v>
      </c>
      <c r="C209" s="87">
        <v>916</v>
      </c>
      <c r="D209" s="89" t="s">
        <v>110</v>
      </c>
      <c r="E209" s="88" t="s">
        <v>20</v>
      </c>
      <c r="F209" s="88" t="s">
        <v>111</v>
      </c>
      <c r="G209" s="88" t="s">
        <v>85</v>
      </c>
      <c r="H209" s="20" t="s">
        <v>112</v>
      </c>
      <c r="I209" s="20" t="s">
        <v>113</v>
      </c>
      <c r="J209" s="20" t="s">
        <v>114</v>
      </c>
      <c r="K209" s="20" t="s">
        <v>29</v>
      </c>
      <c r="L209" s="20"/>
      <c r="M209" s="20" t="s">
        <v>37</v>
      </c>
      <c r="N209" s="55">
        <v>2491999.84</v>
      </c>
      <c r="O209" s="55">
        <v>2491999.5099999998</v>
      </c>
      <c r="P209" s="55">
        <v>2100000</v>
      </c>
      <c r="Q209" s="55">
        <v>2100000</v>
      </c>
      <c r="R209" s="55">
        <v>2600000</v>
      </c>
      <c r="S209" s="55">
        <v>2600000</v>
      </c>
    </row>
    <row r="210" spans="1:19" ht="409.5" customHeight="1" x14ac:dyDescent="0.25">
      <c r="A210" s="92"/>
      <c r="B210" s="94"/>
      <c r="C210" s="92"/>
      <c r="D210" s="93"/>
      <c r="E210" s="94"/>
      <c r="F210" s="94"/>
      <c r="G210" s="94"/>
      <c r="H210" s="20"/>
      <c r="I210" s="20"/>
      <c r="J210" s="20"/>
      <c r="K210" s="20" t="s">
        <v>115</v>
      </c>
      <c r="L210" s="20"/>
      <c r="M210" s="20" t="s">
        <v>116</v>
      </c>
      <c r="N210" s="56"/>
      <c r="O210" s="56"/>
      <c r="P210" s="56"/>
      <c r="Q210" s="56"/>
      <c r="R210" s="56"/>
      <c r="S210" s="56"/>
    </row>
    <row r="211" spans="1:19" ht="90" x14ac:dyDescent="0.25">
      <c r="A211" s="87">
        <v>2545</v>
      </c>
      <c r="B211" s="88" t="s">
        <v>504</v>
      </c>
      <c r="C211" s="87">
        <v>916</v>
      </c>
      <c r="D211" s="89" t="s">
        <v>34</v>
      </c>
      <c r="E211" s="20" t="s">
        <v>20</v>
      </c>
      <c r="F211" s="20" t="s">
        <v>47</v>
      </c>
      <c r="G211" s="20" t="s">
        <v>85</v>
      </c>
      <c r="H211" s="87"/>
      <c r="I211" s="87"/>
      <c r="J211" s="87"/>
      <c r="K211" s="41" t="s">
        <v>308</v>
      </c>
      <c r="L211" s="20"/>
      <c r="M211" s="20" t="s">
        <v>309</v>
      </c>
      <c r="N211" s="55">
        <v>268500</v>
      </c>
      <c r="O211" s="55">
        <v>262500</v>
      </c>
      <c r="P211" s="55">
        <v>500000</v>
      </c>
      <c r="Q211" s="55">
        <v>500000</v>
      </c>
      <c r="R211" s="55">
        <v>500000</v>
      </c>
      <c r="S211" s="55">
        <v>500000</v>
      </c>
    </row>
    <row r="212" spans="1:19" ht="45" x14ac:dyDescent="0.25">
      <c r="A212" s="92"/>
      <c r="B212" s="94"/>
      <c r="C212" s="92"/>
      <c r="D212" s="93"/>
      <c r="E212" s="20" t="s">
        <v>305</v>
      </c>
      <c r="F212" s="20" t="s">
        <v>306</v>
      </c>
      <c r="G212" s="20" t="s">
        <v>307</v>
      </c>
      <c r="H212" s="92"/>
      <c r="I212" s="92"/>
      <c r="J212" s="92"/>
      <c r="K212" s="42"/>
      <c r="L212" s="20"/>
      <c r="M212" s="20"/>
      <c r="N212" s="56"/>
      <c r="O212" s="56"/>
      <c r="P212" s="56"/>
      <c r="Q212" s="56"/>
      <c r="R212" s="56"/>
      <c r="S212" s="56"/>
    </row>
    <row r="213" spans="1:19" s="70" customFormat="1" ht="114" x14ac:dyDescent="0.2">
      <c r="A213" s="133">
        <v>2600</v>
      </c>
      <c r="B213" s="132" t="s">
        <v>438</v>
      </c>
      <c r="C213" s="40"/>
      <c r="D213" s="195"/>
      <c r="E213" s="40"/>
      <c r="F213" s="40"/>
      <c r="G213" s="40"/>
      <c r="H213" s="40"/>
      <c r="I213" s="40"/>
      <c r="J213" s="40"/>
      <c r="K213" s="40"/>
      <c r="L213" s="40"/>
      <c r="M213" s="40"/>
      <c r="N213" s="196">
        <f t="shared" ref="N213:S213" si="30">N214</f>
        <v>16390993.16</v>
      </c>
      <c r="O213" s="196">
        <f t="shared" si="30"/>
        <v>16148556.59</v>
      </c>
      <c r="P213" s="196">
        <f t="shared" si="30"/>
        <v>16916272</v>
      </c>
      <c r="Q213" s="196">
        <f t="shared" si="30"/>
        <v>16916272</v>
      </c>
      <c r="R213" s="196">
        <f t="shared" si="30"/>
        <v>16916272</v>
      </c>
      <c r="S213" s="196">
        <f t="shared" si="30"/>
        <v>16916272</v>
      </c>
    </row>
    <row r="214" spans="1:19" ht="90" x14ac:dyDescent="0.25">
      <c r="A214" s="87" t="s">
        <v>430</v>
      </c>
      <c r="B214" s="88" t="s">
        <v>505</v>
      </c>
      <c r="C214" s="87">
        <v>916</v>
      </c>
      <c r="D214" s="137" t="s">
        <v>34</v>
      </c>
      <c r="E214" s="20" t="s">
        <v>20</v>
      </c>
      <c r="F214" s="20" t="s">
        <v>33</v>
      </c>
      <c r="G214" s="42" t="s">
        <v>21</v>
      </c>
      <c r="H214" s="20" t="s">
        <v>24</v>
      </c>
      <c r="I214" s="115" t="s">
        <v>25</v>
      </c>
      <c r="J214" s="42" t="s">
        <v>26</v>
      </c>
      <c r="K214" s="20" t="s">
        <v>29</v>
      </c>
      <c r="L214" s="20"/>
      <c r="M214" s="20" t="s">
        <v>30</v>
      </c>
      <c r="N214" s="55">
        <f>16375369.16+15624</f>
        <v>16390993.16</v>
      </c>
      <c r="O214" s="55">
        <f>16132932.59+15624</f>
        <v>16148556.59</v>
      </c>
      <c r="P214" s="55">
        <v>16916272</v>
      </c>
      <c r="Q214" s="55">
        <v>16916272</v>
      </c>
      <c r="R214" s="55">
        <v>16916272</v>
      </c>
      <c r="S214" s="55">
        <v>16916272</v>
      </c>
    </row>
    <row r="215" spans="1:19" ht="235.5" customHeight="1" x14ac:dyDescent="0.25">
      <c r="A215" s="92"/>
      <c r="B215" s="94"/>
      <c r="C215" s="92"/>
      <c r="D215" s="137"/>
      <c r="E215" s="42" t="s">
        <v>22</v>
      </c>
      <c r="F215" s="114" t="s">
        <v>25</v>
      </c>
      <c r="G215" s="42" t="s">
        <v>23</v>
      </c>
      <c r="H215" s="99" t="s">
        <v>27</v>
      </c>
      <c r="I215" s="115" t="s">
        <v>25</v>
      </c>
      <c r="J215" s="20" t="s">
        <v>28</v>
      </c>
      <c r="K215" s="20" t="s">
        <v>478</v>
      </c>
      <c r="L215" s="20"/>
      <c r="M215" s="20" t="s">
        <v>477</v>
      </c>
      <c r="N215" s="56"/>
      <c r="O215" s="56"/>
      <c r="P215" s="56"/>
      <c r="Q215" s="56"/>
      <c r="R215" s="56"/>
      <c r="S215" s="56"/>
    </row>
    <row r="216" spans="1:19" s="70" customFormat="1" ht="14.25" x14ac:dyDescent="0.2">
      <c r="A216" s="141"/>
      <c r="B216" s="36" t="s">
        <v>311</v>
      </c>
      <c r="C216" s="141">
        <v>917</v>
      </c>
      <c r="D216" s="142"/>
      <c r="E216" s="36"/>
      <c r="F216" s="36"/>
      <c r="G216" s="36"/>
      <c r="H216" s="36"/>
      <c r="I216" s="36"/>
      <c r="J216" s="36"/>
      <c r="K216" s="36"/>
      <c r="L216" s="36"/>
      <c r="M216" s="36"/>
      <c r="N216" s="143">
        <f>N217</f>
        <v>9625009</v>
      </c>
      <c r="O216" s="143">
        <f t="shared" ref="O216:S217" si="31">O217</f>
        <v>9625009</v>
      </c>
      <c r="P216" s="143">
        <f t="shared" si="31"/>
        <v>10180450</v>
      </c>
      <c r="Q216" s="143">
        <f t="shared" si="31"/>
        <v>10098450</v>
      </c>
      <c r="R216" s="143">
        <f t="shared" si="31"/>
        <v>10180450</v>
      </c>
      <c r="S216" s="143">
        <f t="shared" si="31"/>
        <v>10180450</v>
      </c>
    </row>
    <row r="217" spans="1:19" s="70" customFormat="1" ht="114" x14ac:dyDescent="0.2">
      <c r="A217" s="133">
        <v>2600</v>
      </c>
      <c r="B217" s="132" t="s">
        <v>438</v>
      </c>
      <c r="C217" s="35"/>
      <c r="D217" s="144"/>
      <c r="E217" s="35"/>
      <c r="F217" s="35"/>
      <c r="G217" s="35"/>
      <c r="H217" s="35"/>
      <c r="I217" s="35"/>
      <c r="J217" s="35"/>
      <c r="K217" s="35"/>
      <c r="L217" s="35"/>
      <c r="M217" s="35"/>
      <c r="N217" s="134">
        <f>N218</f>
        <v>9625009</v>
      </c>
      <c r="O217" s="134">
        <f t="shared" si="31"/>
        <v>9625009</v>
      </c>
      <c r="P217" s="134">
        <f t="shared" si="31"/>
        <v>10180450</v>
      </c>
      <c r="Q217" s="134">
        <f t="shared" si="31"/>
        <v>10098450</v>
      </c>
      <c r="R217" s="134">
        <f t="shared" si="31"/>
        <v>10180450</v>
      </c>
      <c r="S217" s="134">
        <f t="shared" si="31"/>
        <v>10180450</v>
      </c>
    </row>
    <row r="218" spans="1:19" ht="90" x14ac:dyDescent="0.25">
      <c r="A218" s="87" t="s">
        <v>430</v>
      </c>
      <c r="B218" s="88" t="s">
        <v>507</v>
      </c>
      <c r="C218" s="87">
        <v>917</v>
      </c>
      <c r="D218" s="89" t="s">
        <v>312</v>
      </c>
      <c r="E218" s="20" t="s">
        <v>20</v>
      </c>
      <c r="F218" s="20" t="s">
        <v>33</v>
      </c>
      <c r="G218" s="42" t="s">
        <v>21</v>
      </c>
      <c r="H218" s="20" t="s">
        <v>24</v>
      </c>
      <c r="I218" s="115" t="s">
        <v>25</v>
      </c>
      <c r="J218" s="42" t="s">
        <v>26</v>
      </c>
      <c r="K218" s="20" t="s">
        <v>29</v>
      </c>
      <c r="L218" s="20"/>
      <c r="M218" s="20" t="s">
        <v>37</v>
      </c>
      <c r="N218" s="55">
        <v>9625009</v>
      </c>
      <c r="O218" s="55">
        <v>9625009</v>
      </c>
      <c r="P218" s="55">
        <v>10180450</v>
      </c>
      <c r="Q218" s="55">
        <v>10098450</v>
      </c>
      <c r="R218" s="55">
        <v>10180450</v>
      </c>
      <c r="S218" s="55">
        <v>10180450</v>
      </c>
    </row>
    <row r="219" spans="1:19" ht="231.75" customHeight="1" x14ac:dyDescent="0.25">
      <c r="A219" s="92"/>
      <c r="B219" s="94"/>
      <c r="C219" s="92"/>
      <c r="D219" s="93"/>
      <c r="E219" s="42" t="s">
        <v>22</v>
      </c>
      <c r="F219" s="114" t="s">
        <v>25</v>
      </c>
      <c r="G219" s="42" t="s">
        <v>23</v>
      </c>
      <c r="H219" s="20" t="s">
        <v>27</v>
      </c>
      <c r="I219" s="115" t="s">
        <v>25</v>
      </c>
      <c r="J219" s="20" t="s">
        <v>28</v>
      </c>
      <c r="K219" s="25" t="s">
        <v>535</v>
      </c>
      <c r="L219" s="20"/>
      <c r="M219" s="20"/>
      <c r="N219" s="56"/>
      <c r="O219" s="56"/>
      <c r="P219" s="56"/>
      <c r="Q219" s="56"/>
      <c r="R219" s="56"/>
      <c r="S219" s="56"/>
    </row>
    <row r="220" spans="1:19" s="70" customFormat="1" ht="14.25" x14ac:dyDescent="0.2">
      <c r="A220" s="141"/>
      <c r="B220" s="36" t="s">
        <v>314</v>
      </c>
      <c r="C220" s="141">
        <v>918</v>
      </c>
      <c r="D220" s="142"/>
      <c r="E220" s="36"/>
      <c r="F220" s="36"/>
      <c r="G220" s="36"/>
      <c r="H220" s="36"/>
      <c r="I220" s="36"/>
      <c r="J220" s="36"/>
      <c r="K220" s="36"/>
      <c r="L220" s="36"/>
      <c r="M220" s="36"/>
      <c r="N220" s="143">
        <f>N221</f>
        <v>2566709</v>
      </c>
      <c r="O220" s="143">
        <f t="shared" ref="O220:S221" si="32">O221</f>
        <v>2566709</v>
      </c>
      <c r="P220" s="143">
        <f t="shared" si="32"/>
        <v>2781736</v>
      </c>
      <c r="Q220" s="143">
        <f t="shared" si="32"/>
        <v>2781736</v>
      </c>
      <c r="R220" s="143">
        <f t="shared" si="32"/>
        <v>2781736</v>
      </c>
      <c r="S220" s="143">
        <f t="shared" si="32"/>
        <v>2781736</v>
      </c>
    </row>
    <row r="221" spans="1:19" s="70" customFormat="1" ht="114" x14ac:dyDescent="0.2">
      <c r="A221" s="133">
        <v>2600</v>
      </c>
      <c r="B221" s="132" t="s">
        <v>438</v>
      </c>
      <c r="C221" s="35"/>
      <c r="D221" s="144"/>
      <c r="E221" s="35"/>
      <c r="F221" s="35"/>
      <c r="G221" s="35"/>
      <c r="H221" s="35"/>
      <c r="I221" s="35"/>
      <c r="J221" s="35"/>
      <c r="K221" s="35"/>
      <c r="L221" s="35"/>
      <c r="M221" s="35"/>
      <c r="N221" s="134">
        <f>N222</f>
        <v>2566709</v>
      </c>
      <c r="O221" s="134">
        <f t="shared" si="32"/>
        <v>2566709</v>
      </c>
      <c r="P221" s="134">
        <f t="shared" si="32"/>
        <v>2781736</v>
      </c>
      <c r="Q221" s="134">
        <f t="shared" si="32"/>
        <v>2781736</v>
      </c>
      <c r="R221" s="134">
        <f t="shared" si="32"/>
        <v>2781736</v>
      </c>
      <c r="S221" s="134">
        <f t="shared" si="32"/>
        <v>2781736</v>
      </c>
    </row>
    <row r="222" spans="1:19" ht="90" x14ac:dyDescent="0.25">
      <c r="A222" s="87" t="s">
        <v>430</v>
      </c>
      <c r="B222" s="88" t="s">
        <v>506</v>
      </c>
      <c r="C222" s="87">
        <v>918</v>
      </c>
      <c r="D222" s="89" t="s">
        <v>313</v>
      </c>
      <c r="E222" s="20" t="s">
        <v>20</v>
      </c>
      <c r="F222" s="20" t="s">
        <v>33</v>
      </c>
      <c r="G222" s="42" t="s">
        <v>21</v>
      </c>
      <c r="H222" s="20" t="s">
        <v>24</v>
      </c>
      <c r="I222" s="115" t="s">
        <v>25</v>
      </c>
      <c r="J222" s="42" t="s">
        <v>26</v>
      </c>
      <c r="K222" s="20" t="s">
        <v>29</v>
      </c>
      <c r="L222" s="20"/>
      <c r="M222" s="20"/>
      <c r="N222" s="55">
        <v>2566709</v>
      </c>
      <c r="O222" s="55">
        <v>2566709</v>
      </c>
      <c r="P222" s="55">
        <v>2781736</v>
      </c>
      <c r="Q222" s="55">
        <v>2781736</v>
      </c>
      <c r="R222" s="55">
        <v>2781736</v>
      </c>
      <c r="S222" s="55">
        <v>2781736</v>
      </c>
    </row>
    <row r="223" spans="1:19" ht="285" x14ac:dyDescent="0.25">
      <c r="A223" s="92"/>
      <c r="B223" s="94"/>
      <c r="C223" s="92"/>
      <c r="D223" s="93"/>
      <c r="E223" s="42" t="s">
        <v>22</v>
      </c>
      <c r="F223" s="114" t="s">
        <v>25</v>
      </c>
      <c r="G223" s="42" t="s">
        <v>23</v>
      </c>
      <c r="H223" s="20" t="s">
        <v>27</v>
      </c>
      <c r="I223" s="115" t="s">
        <v>25</v>
      </c>
      <c r="J223" s="20" t="s">
        <v>28</v>
      </c>
      <c r="K223" s="20" t="s">
        <v>128</v>
      </c>
      <c r="L223" s="20"/>
      <c r="M223" s="20" t="s">
        <v>129</v>
      </c>
      <c r="N223" s="56"/>
      <c r="O223" s="56"/>
      <c r="P223" s="56"/>
      <c r="Q223" s="56"/>
      <c r="R223" s="56"/>
      <c r="S223" s="56"/>
    </row>
    <row r="224" spans="1:19" ht="26.25" customHeight="1" x14ac:dyDescent="0.25">
      <c r="A224" s="108">
        <v>2500</v>
      </c>
      <c r="B224" s="200" t="s">
        <v>367</v>
      </c>
      <c r="C224" s="201"/>
      <c r="D224" s="201"/>
      <c r="E224" s="201"/>
      <c r="F224" s="201"/>
      <c r="G224" s="201"/>
      <c r="H224" s="201"/>
      <c r="I224" s="201"/>
      <c r="J224" s="201"/>
      <c r="K224" s="201"/>
      <c r="L224" s="201"/>
      <c r="M224" s="202"/>
      <c r="N224" s="135">
        <f t="shared" ref="N224:S224" si="33">N10+N48+N64+N77+N89+N130+N166+N188+N205</f>
        <v>1795955426.49</v>
      </c>
      <c r="O224" s="135">
        <f t="shared" si="33"/>
        <v>1772222023.9000003</v>
      </c>
      <c r="P224" s="135">
        <f t="shared" si="33"/>
        <v>1570584147.6700001</v>
      </c>
      <c r="Q224" s="135">
        <f t="shared" si="33"/>
        <v>1608844309.6700001</v>
      </c>
      <c r="R224" s="135">
        <f t="shared" si="33"/>
        <v>1526791267.6700001</v>
      </c>
      <c r="S224" s="135">
        <f t="shared" si="33"/>
        <v>1526791267.6700001</v>
      </c>
    </row>
    <row r="225" spans="1:19" ht="33.75" customHeight="1" x14ac:dyDescent="0.25">
      <c r="A225" s="131">
        <v>2600</v>
      </c>
      <c r="B225" s="200" t="s">
        <v>366</v>
      </c>
      <c r="C225" s="201"/>
      <c r="D225" s="201"/>
      <c r="E225" s="201"/>
      <c r="F225" s="201"/>
      <c r="G225" s="201"/>
      <c r="H225" s="201"/>
      <c r="I225" s="201"/>
      <c r="J225" s="201"/>
      <c r="K225" s="201"/>
      <c r="L225" s="201"/>
      <c r="M225" s="202"/>
      <c r="N225" s="135">
        <f t="shared" ref="N225:S225" si="34">N26+N56+N66+N112+N157+N182+N201+N213+N217+N221</f>
        <v>302821034.98000008</v>
      </c>
      <c r="O225" s="135">
        <f t="shared" si="34"/>
        <v>297709539.94</v>
      </c>
      <c r="P225" s="135">
        <f t="shared" si="34"/>
        <v>351407990.32999998</v>
      </c>
      <c r="Q225" s="135">
        <f t="shared" si="34"/>
        <v>336270172.32999998</v>
      </c>
      <c r="R225" s="135">
        <f t="shared" si="34"/>
        <v>297474972.32999998</v>
      </c>
      <c r="S225" s="135">
        <f t="shared" si="34"/>
        <v>297474972.32999998</v>
      </c>
    </row>
    <row r="226" spans="1:19" ht="30" customHeight="1" x14ac:dyDescent="0.25">
      <c r="A226" s="133">
        <v>3100</v>
      </c>
      <c r="B226" s="200" t="s">
        <v>433</v>
      </c>
      <c r="C226" s="203"/>
      <c r="D226" s="203"/>
      <c r="E226" s="203"/>
      <c r="F226" s="203"/>
      <c r="G226" s="203"/>
      <c r="H226" s="203"/>
      <c r="I226" s="203"/>
      <c r="J226" s="203"/>
      <c r="K226" s="203"/>
      <c r="L226" s="203"/>
      <c r="M226" s="204"/>
      <c r="N226" s="48">
        <f t="shared" ref="N226:S226" si="35">N34</f>
        <v>10100</v>
      </c>
      <c r="O226" s="48">
        <f t="shared" si="35"/>
        <v>10100</v>
      </c>
      <c r="P226" s="48">
        <f t="shared" si="35"/>
        <v>112400</v>
      </c>
      <c r="Q226" s="48">
        <f t="shared" si="35"/>
        <v>978600</v>
      </c>
      <c r="R226" s="48">
        <f t="shared" si="35"/>
        <v>0</v>
      </c>
      <c r="S226" s="48">
        <f t="shared" si="35"/>
        <v>0</v>
      </c>
    </row>
    <row r="227" spans="1:19" x14ac:dyDescent="0.25">
      <c r="A227" s="131">
        <v>3200</v>
      </c>
      <c r="B227" s="205" t="s">
        <v>508</v>
      </c>
      <c r="C227" s="205"/>
      <c r="D227" s="205"/>
      <c r="E227" s="205"/>
      <c r="F227" s="205"/>
      <c r="G227" s="205"/>
      <c r="H227" s="205"/>
      <c r="I227" s="205"/>
      <c r="J227" s="205"/>
      <c r="K227" s="205"/>
      <c r="L227" s="205"/>
      <c r="M227" s="205"/>
      <c r="N227" s="206">
        <f t="shared" ref="N227:S227" si="36">N36+N60+N162+N116</f>
        <v>223360944.16</v>
      </c>
      <c r="O227" s="206">
        <f t="shared" si="36"/>
        <v>216173850.41000003</v>
      </c>
      <c r="P227" s="206">
        <f t="shared" si="36"/>
        <v>199439300</v>
      </c>
      <c r="Q227" s="206">
        <f t="shared" si="36"/>
        <v>198554000</v>
      </c>
      <c r="R227" s="206">
        <f t="shared" si="36"/>
        <v>174416300</v>
      </c>
      <c r="S227" s="206">
        <f t="shared" si="36"/>
        <v>174416300</v>
      </c>
    </row>
    <row r="228" spans="1:19" x14ac:dyDescent="0.25">
      <c r="A228" s="131">
        <v>3400</v>
      </c>
      <c r="B228" s="200" t="s">
        <v>434</v>
      </c>
      <c r="C228" s="201"/>
      <c r="D228" s="201"/>
      <c r="E228" s="201"/>
      <c r="F228" s="201"/>
      <c r="G228" s="201"/>
      <c r="H228" s="201"/>
      <c r="I228" s="201"/>
      <c r="J228" s="201"/>
      <c r="K228" s="201"/>
      <c r="L228" s="201"/>
      <c r="M228" s="202"/>
      <c r="N228" s="206">
        <f t="shared" ref="N228:S228" si="37">N123</f>
        <v>1201747330.5</v>
      </c>
      <c r="O228" s="206">
        <f t="shared" si="37"/>
        <v>1201747330.5</v>
      </c>
      <c r="P228" s="206">
        <f t="shared" si="37"/>
        <v>1316295300</v>
      </c>
      <c r="Q228" s="206">
        <f t="shared" si="37"/>
        <v>1307785600</v>
      </c>
      <c r="R228" s="206">
        <f t="shared" si="37"/>
        <v>1307785600</v>
      </c>
      <c r="S228" s="206">
        <f t="shared" si="37"/>
        <v>1307785600</v>
      </c>
    </row>
    <row r="229" spans="1:19" ht="15.75" thickBot="1" x14ac:dyDescent="0.3">
      <c r="A229" s="207"/>
      <c r="B229" s="208" t="s">
        <v>324</v>
      </c>
      <c r="C229" s="209"/>
      <c r="D229" s="209"/>
      <c r="E229" s="209"/>
      <c r="F229" s="209"/>
      <c r="G229" s="209"/>
      <c r="H229" s="209"/>
      <c r="I229" s="209"/>
      <c r="J229" s="209"/>
      <c r="K229" s="209"/>
      <c r="L229" s="209"/>
      <c r="M229" s="210"/>
      <c r="N229" s="211">
        <f t="shared" ref="N229:S229" si="38">SUM(N224:N227)+N228</f>
        <v>3523894836.1300001</v>
      </c>
      <c r="O229" s="211">
        <f t="shared" si="38"/>
        <v>3487862844.7500005</v>
      </c>
      <c r="P229" s="211">
        <f t="shared" si="38"/>
        <v>3437839138</v>
      </c>
      <c r="Q229" s="211">
        <f t="shared" si="38"/>
        <v>3452432682</v>
      </c>
      <c r="R229" s="211">
        <f t="shared" si="38"/>
        <v>3306468140</v>
      </c>
      <c r="S229" s="211">
        <f t="shared" si="38"/>
        <v>3306468140</v>
      </c>
    </row>
    <row r="230" spans="1:19" x14ac:dyDescent="0.25">
      <c r="N230" s="212">
        <v>3523894836.1300001</v>
      </c>
      <c r="O230" s="212">
        <v>3487862844.75</v>
      </c>
      <c r="P230" s="212">
        <v>3437839138</v>
      </c>
      <c r="Q230" s="212">
        <v>3494432682</v>
      </c>
      <c r="R230" s="212">
        <v>3393468140</v>
      </c>
      <c r="S230" s="212">
        <v>3393468140</v>
      </c>
    </row>
    <row r="231" spans="1:19" x14ac:dyDescent="0.25">
      <c r="P231" s="212">
        <f>P229-P230</f>
        <v>0</v>
      </c>
      <c r="Q231" s="212">
        <f>Q229-Q230</f>
        <v>-42000000</v>
      </c>
      <c r="R231" s="212">
        <f>R229-R230</f>
        <v>-87000000</v>
      </c>
      <c r="S231" s="212">
        <f>S229-S230</f>
        <v>-87000000</v>
      </c>
    </row>
    <row r="232" spans="1:19" x14ac:dyDescent="0.25">
      <c r="P232" s="212"/>
      <c r="Q232" s="212"/>
      <c r="R232" s="212"/>
    </row>
    <row r="234" spans="1:19" x14ac:dyDescent="0.25">
      <c r="A234" s="69" t="s">
        <v>467</v>
      </c>
      <c r="B234" s="69"/>
      <c r="C234" s="69"/>
      <c r="D234" s="69"/>
      <c r="E234" s="24" t="s">
        <v>468</v>
      </c>
    </row>
  </sheetData>
  <mergeCells count="575">
    <mergeCell ref="P183:P184"/>
    <mergeCell ref="Q183:Q184"/>
    <mergeCell ref="P192:P196"/>
    <mergeCell ref="R126:R127"/>
    <mergeCell ref="P145:P146"/>
    <mergeCell ref="Q145:Q146"/>
    <mergeCell ref="P147:P149"/>
    <mergeCell ref="O78:O81"/>
    <mergeCell ref="O209:O210"/>
    <mergeCell ref="P124:P125"/>
    <mergeCell ref="O145:O146"/>
    <mergeCell ref="P202:P203"/>
    <mergeCell ref="N202:N203"/>
    <mergeCell ref="N206:N208"/>
    <mergeCell ref="N197:N200"/>
    <mergeCell ref="N189:N191"/>
    <mergeCell ref="N192:N196"/>
    <mergeCell ref="O206:O208"/>
    <mergeCell ref="O185:O186"/>
    <mergeCell ref="P189:P191"/>
    <mergeCell ref="Q218:Q219"/>
    <mergeCell ref="R145:R146"/>
    <mergeCell ref="R153:R154"/>
    <mergeCell ref="Q211:Q212"/>
    <mergeCell ref="Q222:Q223"/>
    <mergeCell ref="N17:N20"/>
    <mergeCell ref="O17:O20"/>
    <mergeCell ref="P17:P20"/>
    <mergeCell ref="Q17:Q20"/>
    <mergeCell ref="Q139:Q140"/>
    <mergeCell ref="P150:P152"/>
    <mergeCell ref="Q150:Q152"/>
    <mergeCell ref="P153:P154"/>
    <mergeCell ref="Q153:Q154"/>
    <mergeCell ref="P158:P159"/>
    <mergeCell ref="Q158:Q159"/>
    <mergeCell ref="P160:P161"/>
    <mergeCell ref="Q160:Q161"/>
    <mergeCell ref="N23:N25"/>
    <mergeCell ref="N31:N32"/>
    <mergeCell ref="O31:O32"/>
    <mergeCell ref="P31:P32"/>
    <mergeCell ref="Q31:Q32"/>
    <mergeCell ref="R31:R32"/>
    <mergeCell ref="S150:S152"/>
    <mergeCell ref="S158:S159"/>
    <mergeCell ref="R150:R152"/>
    <mergeCell ref="R160:R161"/>
    <mergeCell ref="P177:P180"/>
    <mergeCell ref="R177:R180"/>
    <mergeCell ref="S132:S134"/>
    <mergeCell ref="S139:S140"/>
    <mergeCell ref="R135:R137"/>
    <mergeCell ref="P135:P137"/>
    <mergeCell ref="S141:S142"/>
    <mergeCell ref="S143:S144"/>
    <mergeCell ref="R141:R142"/>
    <mergeCell ref="S15:S16"/>
    <mergeCell ref="P27:P28"/>
    <mergeCell ref="Q27:Q28"/>
    <mergeCell ref="P29:P30"/>
    <mergeCell ref="S71:S72"/>
    <mergeCell ref="S67:S69"/>
    <mergeCell ref="O40:O41"/>
    <mergeCell ref="R40:R41"/>
    <mergeCell ref="S61:S62"/>
    <mergeCell ref="S57:S59"/>
    <mergeCell ref="S31:S32"/>
    <mergeCell ref="S42:S43"/>
    <mergeCell ref="S49:S52"/>
    <mergeCell ref="P44:P45"/>
    <mergeCell ref="R17:R20"/>
    <mergeCell ref="S17:S20"/>
    <mergeCell ref="Q15:Q16"/>
    <mergeCell ref="R15:R16"/>
    <mergeCell ref="P40:P41"/>
    <mergeCell ref="P42:P43"/>
    <mergeCell ref="P67:P69"/>
    <mergeCell ref="P54:P55"/>
    <mergeCell ref="O61:O62"/>
    <mergeCell ref="O44:O45"/>
    <mergeCell ref="S27:S28"/>
    <mergeCell ref="Q23:Q25"/>
    <mergeCell ref="R23:R25"/>
    <mergeCell ref="S23:S25"/>
    <mergeCell ref="Q29:Q30"/>
    <mergeCell ref="S54:S55"/>
    <mergeCell ref="Q71:Q72"/>
    <mergeCell ref="Q44:Q45"/>
    <mergeCell ref="R44:R45"/>
    <mergeCell ref="Q40:Q41"/>
    <mergeCell ref="Q42:Q43"/>
    <mergeCell ref="Q61:Q62"/>
    <mergeCell ref="Q67:Q69"/>
    <mergeCell ref="Q54:Q55"/>
    <mergeCell ref="P49:P52"/>
    <mergeCell ref="Q49:Q52"/>
    <mergeCell ref="O49:O52"/>
    <mergeCell ref="A150:A152"/>
    <mergeCell ref="B153:B154"/>
    <mergeCell ref="A158:A159"/>
    <mergeCell ref="B158:B159"/>
    <mergeCell ref="C158:C159"/>
    <mergeCell ref="D158:D159"/>
    <mergeCell ref="B150:B152"/>
    <mergeCell ref="A153:A154"/>
    <mergeCell ref="D153:D154"/>
    <mergeCell ref="A145:A146"/>
    <mergeCell ref="B145:B146"/>
    <mergeCell ref="C145:C146"/>
    <mergeCell ref="A102:A109"/>
    <mergeCell ref="P78:P81"/>
    <mergeCell ref="Q135:Q137"/>
    <mergeCell ref="N61:N62"/>
    <mergeCell ref="P57:P59"/>
    <mergeCell ref="Q57:Q59"/>
    <mergeCell ref="P61:P62"/>
    <mergeCell ref="O124:O125"/>
    <mergeCell ref="Q124:Q125"/>
    <mergeCell ref="S78:S81"/>
    <mergeCell ref="S82:S83"/>
    <mergeCell ref="S113:S114"/>
    <mergeCell ref="S91:S95"/>
    <mergeCell ref="R110:R111"/>
    <mergeCell ref="R78:R81"/>
    <mergeCell ref="R82:R83"/>
    <mergeCell ref="S110:S111"/>
    <mergeCell ref="S44:S45"/>
    <mergeCell ref="R91:R95"/>
    <mergeCell ref="R71:R72"/>
    <mergeCell ref="R49:R52"/>
    <mergeCell ref="R54:R55"/>
    <mergeCell ref="R113:R114"/>
    <mergeCell ref="R73:R75"/>
    <mergeCell ref="S73:S75"/>
    <mergeCell ref="E11:E12"/>
    <mergeCell ref="N27:N28"/>
    <mergeCell ref="O29:O30"/>
    <mergeCell ref="R29:R30"/>
    <mergeCell ref="S29:S30"/>
    <mergeCell ref="E15:E16"/>
    <mergeCell ref="F15:F16"/>
    <mergeCell ref="G15:G16"/>
    <mergeCell ref="O42:O43"/>
    <mergeCell ref="O27:O28"/>
    <mergeCell ref="R27:R28"/>
    <mergeCell ref="N42:N43"/>
    <mergeCell ref="E29:E30"/>
    <mergeCell ref="R42:R43"/>
    <mergeCell ref="F23:F25"/>
    <mergeCell ref="G23:G25"/>
    <mergeCell ref="G29:G30"/>
    <mergeCell ref="N29:N30"/>
    <mergeCell ref="P23:P25"/>
    <mergeCell ref="N15:N16"/>
    <mergeCell ref="O15:O16"/>
    <mergeCell ref="N40:N41"/>
    <mergeCell ref="P15:P16"/>
    <mergeCell ref="S40:S41"/>
    <mergeCell ref="N110:N111"/>
    <mergeCell ref="N71:N72"/>
    <mergeCell ref="O113:O114"/>
    <mergeCell ref="P110:P111"/>
    <mergeCell ref="N78:N81"/>
    <mergeCell ref="O91:O95"/>
    <mergeCell ref="Q110:Q111"/>
    <mergeCell ref="Q78:Q81"/>
    <mergeCell ref="P82:P83"/>
    <mergeCell ref="Q82:Q83"/>
    <mergeCell ref="P91:P95"/>
    <mergeCell ref="Q91:Q95"/>
    <mergeCell ref="O71:O72"/>
    <mergeCell ref="P71:P72"/>
    <mergeCell ref="N82:N83"/>
    <mergeCell ref="O82:O83"/>
    <mergeCell ref="O110:O111"/>
    <mergeCell ref="Q73:Q75"/>
    <mergeCell ref="N73:N75"/>
    <mergeCell ref="N113:N114"/>
    <mergeCell ref="N91:N95"/>
    <mergeCell ref="N132:N134"/>
    <mergeCell ref="H132:H133"/>
    <mergeCell ref="N143:N144"/>
    <mergeCell ref="Q141:Q142"/>
    <mergeCell ref="P141:P142"/>
    <mergeCell ref="R124:R125"/>
    <mergeCell ref="P113:P114"/>
    <mergeCell ref="N141:N142"/>
    <mergeCell ref="O132:O134"/>
    <mergeCell ref="R132:R134"/>
    <mergeCell ref="O126:O127"/>
    <mergeCell ref="O141:O142"/>
    <mergeCell ref="P143:P144"/>
    <mergeCell ref="Q132:Q134"/>
    <mergeCell ref="P126:P127"/>
    <mergeCell ref="Q126:Q127"/>
    <mergeCell ref="P139:P140"/>
    <mergeCell ref="P132:P134"/>
    <mergeCell ref="O139:O140"/>
    <mergeCell ref="H124:H125"/>
    <mergeCell ref="J124:J125"/>
    <mergeCell ref="S124:S125"/>
    <mergeCell ref="Q143:Q144"/>
    <mergeCell ref="R143:R144"/>
    <mergeCell ref="Q113:Q114"/>
    <mergeCell ref="S214:S215"/>
    <mergeCell ref="O143:O144"/>
    <mergeCell ref="R139:R140"/>
    <mergeCell ref="O147:O149"/>
    <mergeCell ref="O160:O161"/>
    <mergeCell ref="O158:O159"/>
    <mergeCell ref="O135:O137"/>
    <mergeCell ref="S126:S127"/>
    <mergeCell ref="S135:S137"/>
    <mergeCell ref="S177:S180"/>
    <mergeCell ref="P174:P176"/>
    <mergeCell ref="Q174:Q176"/>
    <mergeCell ref="R174:R176"/>
    <mergeCell ref="S174:S176"/>
    <mergeCell ref="Q147:Q149"/>
    <mergeCell ref="S147:S149"/>
    <mergeCell ref="S145:S146"/>
    <mergeCell ref="R147:R149"/>
    <mergeCell ref="S160:S161"/>
    <mergeCell ref="S153:S154"/>
    <mergeCell ref="S197:S200"/>
    <mergeCell ref="R158:R159"/>
    <mergeCell ref="O222:O223"/>
    <mergeCell ref="O183:O184"/>
    <mergeCell ref="R183:R184"/>
    <mergeCell ref="S183:S184"/>
    <mergeCell ref="S222:S223"/>
    <mergeCell ref="R222:R223"/>
    <mergeCell ref="S192:S196"/>
    <mergeCell ref="R218:R219"/>
    <mergeCell ref="S218:S219"/>
    <mergeCell ref="S209:S210"/>
    <mergeCell ref="S211:S212"/>
    <mergeCell ref="O202:O203"/>
    <mergeCell ref="R202:R203"/>
    <mergeCell ref="S202:S203"/>
    <mergeCell ref="S185:S186"/>
    <mergeCell ref="S206:S208"/>
    <mergeCell ref="R211:R212"/>
    <mergeCell ref="O211:O212"/>
    <mergeCell ref="P211:P212"/>
    <mergeCell ref="P222:P223"/>
    <mergeCell ref="O197:O200"/>
    <mergeCell ref="P214:P215"/>
    <mergeCell ref="P218:P219"/>
    <mergeCell ref="A218:A219"/>
    <mergeCell ref="B218:B219"/>
    <mergeCell ref="C211:C212"/>
    <mergeCell ref="D211:D212"/>
    <mergeCell ref="A206:A208"/>
    <mergeCell ref="B206:B208"/>
    <mergeCell ref="C206:C208"/>
    <mergeCell ref="D206:D208"/>
    <mergeCell ref="J211:J212"/>
    <mergeCell ref="D202:D203"/>
    <mergeCell ref="A202:A203"/>
    <mergeCell ref="A15:A16"/>
    <mergeCell ref="B15:B16"/>
    <mergeCell ref="A17:A18"/>
    <mergeCell ref="A222:A223"/>
    <mergeCell ref="B222:B223"/>
    <mergeCell ref="C222:C223"/>
    <mergeCell ref="N222:N223"/>
    <mergeCell ref="N211:N212"/>
    <mergeCell ref="A209:A210"/>
    <mergeCell ref="A211:A212"/>
    <mergeCell ref="B211:B212"/>
    <mergeCell ref="N218:N219"/>
    <mergeCell ref="N209:N210"/>
    <mergeCell ref="I211:I212"/>
    <mergeCell ref="B209:B210"/>
    <mergeCell ref="C209:C210"/>
    <mergeCell ref="D209:D210"/>
    <mergeCell ref="E209:E210"/>
    <mergeCell ref="F209:F210"/>
    <mergeCell ref="G209:G210"/>
    <mergeCell ref="A197:A200"/>
    <mergeCell ref="B197:B200"/>
    <mergeCell ref="C160:C161"/>
    <mergeCell ref="D160:D161"/>
    <mergeCell ref="A27:A28"/>
    <mergeCell ref="B27:B28"/>
    <mergeCell ref="C27:C28"/>
    <mergeCell ref="D27:D28"/>
    <mergeCell ref="B29:B30"/>
    <mergeCell ref="C29:C30"/>
    <mergeCell ref="A29:A30"/>
    <mergeCell ref="D29:D30"/>
    <mergeCell ref="A31:A32"/>
    <mergeCell ref="B31:B32"/>
    <mergeCell ref="C31:C32"/>
    <mergeCell ref="D31:D32"/>
    <mergeCell ref="B147:B149"/>
    <mergeCell ref="C143:C144"/>
    <mergeCell ref="C147:C149"/>
    <mergeCell ref="C153:C154"/>
    <mergeCell ref="B78:B81"/>
    <mergeCell ref="B82:B83"/>
    <mergeCell ref="H185:H186"/>
    <mergeCell ref="I185:I186"/>
    <mergeCell ref="B17:B18"/>
    <mergeCell ref="C17:C18"/>
    <mergeCell ref="D17:D18"/>
    <mergeCell ref="F29:F30"/>
    <mergeCell ref="B183:B184"/>
    <mergeCell ref="C183:C184"/>
    <mergeCell ref="D183:D184"/>
    <mergeCell ref="F143:F144"/>
    <mergeCell ref="F71:F72"/>
    <mergeCell ref="H143:H144"/>
    <mergeCell ref="I143:I144"/>
    <mergeCell ref="D147:D149"/>
    <mergeCell ref="E177:E180"/>
    <mergeCell ref="F177:F180"/>
    <mergeCell ref="G177:G180"/>
    <mergeCell ref="C82:C83"/>
    <mergeCell ref="D82:D83"/>
    <mergeCell ref="B135:B137"/>
    <mergeCell ref="B139:B140"/>
    <mergeCell ref="B57:B59"/>
    <mergeCell ref="R11:R13"/>
    <mergeCell ref="Q6:S6"/>
    <mergeCell ref="F11:F12"/>
    <mergeCell ref="S11:S13"/>
    <mergeCell ref="G11:G12"/>
    <mergeCell ref="A177:A180"/>
    <mergeCell ref="B177:B180"/>
    <mergeCell ref="C177:C180"/>
    <mergeCell ref="D177:D180"/>
    <mergeCell ref="C174:C176"/>
    <mergeCell ref="D174:D176"/>
    <mergeCell ref="A141:A142"/>
    <mergeCell ref="B141:B142"/>
    <mergeCell ref="C141:C142"/>
    <mergeCell ref="A57:A59"/>
    <mergeCell ref="E143:E144"/>
    <mergeCell ref="D91:D95"/>
    <mergeCell ref="C150:C152"/>
    <mergeCell ref="D150:D152"/>
    <mergeCell ref="B143:B144"/>
    <mergeCell ref="A143:A144"/>
    <mergeCell ref="A147:A149"/>
    <mergeCell ref="A168:A169"/>
    <mergeCell ref="B168:B169"/>
    <mergeCell ref="C2:P2"/>
    <mergeCell ref="K6:K7"/>
    <mergeCell ref="L6:L7"/>
    <mergeCell ref="M6:M7"/>
    <mergeCell ref="N6:O6"/>
    <mergeCell ref="C5:D5"/>
    <mergeCell ref="C11:C12"/>
    <mergeCell ref="O23:O25"/>
    <mergeCell ref="C15:C16"/>
    <mergeCell ref="D15:D16"/>
    <mergeCell ref="N5:S5"/>
    <mergeCell ref="E6:E7"/>
    <mergeCell ref="F6:F7"/>
    <mergeCell ref="G6:G7"/>
    <mergeCell ref="H6:H7"/>
    <mergeCell ref="I6:I7"/>
    <mergeCell ref="J6:J7"/>
    <mergeCell ref="E5:G5"/>
    <mergeCell ref="H5:J5"/>
    <mergeCell ref="K5:M5"/>
    <mergeCell ref="N11:N13"/>
    <mergeCell ref="O11:O13"/>
    <mergeCell ref="P11:P13"/>
    <mergeCell ref="Q11:Q13"/>
    <mergeCell ref="N49:N52"/>
    <mergeCell ref="A49:A52"/>
    <mergeCell ref="B49:B52"/>
    <mergeCell ref="C49:C52"/>
    <mergeCell ref="B54:B55"/>
    <mergeCell ref="C54:C55"/>
    <mergeCell ref="D54:D55"/>
    <mergeCell ref="B40:B41"/>
    <mergeCell ref="C40:C41"/>
    <mergeCell ref="D40:D41"/>
    <mergeCell ref="N44:N45"/>
    <mergeCell ref="N54:N55"/>
    <mergeCell ref="A54:A55"/>
    <mergeCell ref="A40:A41"/>
    <mergeCell ref="N57:N59"/>
    <mergeCell ref="O57:O59"/>
    <mergeCell ref="N67:N69"/>
    <mergeCell ref="O67:O69"/>
    <mergeCell ref="R57:R59"/>
    <mergeCell ref="P73:P75"/>
    <mergeCell ref="O73:O75"/>
    <mergeCell ref="O54:O55"/>
    <mergeCell ref="R67:R69"/>
    <mergeCell ref="R61:R62"/>
    <mergeCell ref="A23:A25"/>
    <mergeCell ref="B23:B25"/>
    <mergeCell ref="C23:C25"/>
    <mergeCell ref="A91:A95"/>
    <mergeCell ref="A78:A81"/>
    <mergeCell ref="C78:C81"/>
    <mergeCell ref="D78:D81"/>
    <mergeCell ref="A82:A83"/>
    <mergeCell ref="J57:J58"/>
    <mergeCell ref="I71:I72"/>
    <mergeCell ref="J71:J72"/>
    <mergeCell ref="H82:H83"/>
    <mergeCell ref="J82:J83"/>
    <mergeCell ref="H67:H68"/>
    <mergeCell ref="I67:I68"/>
    <mergeCell ref="J67:J68"/>
    <mergeCell ref="H57:H58"/>
    <mergeCell ref="I57:I58"/>
    <mergeCell ref="I82:I83"/>
    <mergeCell ref="G71:G72"/>
    <mergeCell ref="H71:H72"/>
    <mergeCell ref="E71:E72"/>
    <mergeCell ref="E67:E68"/>
    <mergeCell ref="E57:E58"/>
    <mergeCell ref="A124:A125"/>
    <mergeCell ref="B124:B125"/>
    <mergeCell ref="I124:I125"/>
    <mergeCell ref="A3:B3"/>
    <mergeCell ref="A61:A62"/>
    <mergeCell ref="B61:B62"/>
    <mergeCell ref="C61:C62"/>
    <mergeCell ref="C71:C72"/>
    <mergeCell ref="D71:D72"/>
    <mergeCell ref="A11:A13"/>
    <mergeCell ref="B11:B13"/>
    <mergeCell ref="A67:A69"/>
    <mergeCell ref="B67:B69"/>
    <mergeCell ref="C67:C69"/>
    <mergeCell ref="D67:D69"/>
    <mergeCell ref="A42:A43"/>
    <mergeCell ref="B42:B43"/>
    <mergeCell ref="C42:C43"/>
    <mergeCell ref="D42:D43"/>
    <mergeCell ref="D11:D12"/>
    <mergeCell ref="A5:A7"/>
    <mergeCell ref="B5:B7"/>
    <mergeCell ref="C6:C7"/>
    <mergeCell ref="D6:D7"/>
    <mergeCell ref="H69:H70"/>
    <mergeCell ref="G143:G144"/>
    <mergeCell ref="A4:B4"/>
    <mergeCell ref="N124:N125"/>
    <mergeCell ref="A139:A140"/>
    <mergeCell ref="A132:A134"/>
    <mergeCell ref="A135:A137"/>
    <mergeCell ref="B132:B134"/>
    <mergeCell ref="C135:C137"/>
    <mergeCell ref="D132:D134"/>
    <mergeCell ref="N139:N140"/>
    <mergeCell ref="A126:A127"/>
    <mergeCell ref="N126:N127"/>
    <mergeCell ref="C139:C140"/>
    <mergeCell ref="C132:C134"/>
    <mergeCell ref="D126:D127"/>
    <mergeCell ref="H126:H127"/>
    <mergeCell ref="I126:I127"/>
    <mergeCell ref="J126:J127"/>
    <mergeCell ref="B91:B95"/>
    <mergeCell ref="C91:C95"/>
    <mergeCell ref="B110:B111"/>
    <mergeCell ref="B126:B127"/>
    <mergeCell ref="D141:D142"/>
    <mergeCell ref="D143:D144"/>
    <mergeCell ref="D145:D146"/>
    <mergeCell ref="E145:E146"/>
    <mergeCell ref="F145:F146"/>
    <mergeCell ref="G145:G146"/>
    <mergeCell ref="C126:C127"/>
    <mergeCell ref="E23:E25"/>
    <mergeCell ref="D49:D52"/>
    <mergeCell ref="C124:C125"/>
    <mergeCell ref="D124:D125"/>
    <mergeCell ref="D23:D25"/>
    <mergeCell ref="C57:C59"/>
    <mergeCell ref="D61:D62"/>
    <mergeCell ref="D57:D59"/>
    <mergeCell ref="F67:F68"/>
    <mergeCell ref="G67:G68"/>
    <mergeCell ref="F57:F58"/>
    <mergeCell ref="G57:G58"/>
    <mergeCell ref="D139:D140"/>
    <mergeCell ref="D135:D137"/>
    <mergeCell ref="R214:R215"/>
    <mergeCell ref="O177:O180"/>
    <mergeCell ref="N177:N180"/>
    <mergeCell ref="P206:P208"/>
    <mergeCell ref="Q206:Q208"/>
    <mergeCell ref="Q202:Q203"/>
    <mergeCell ref="P209:P210"/>
    <mergeCell ref="Q209:Q210"/>
    <mergeCell ref="R192:R196"/>
    <mergeCell ref="Q197:Q200"/>
    <mergeCell ref="R197:R200"/>
    <mergeCell ref="P197:P200"/>
    <mergeCell ref="R189:R191"/>
    <mergeCell ref="O192:O196"/>
    <mergeCell ref="Q177:Q180"/>
    <mergeCell ref="O189:O191"/>
    <mergeCell ref="Q214:Q215"/>
    <mergeCell ref="R209:R210"/>
    <mergeCell ref="R206:R208"/>
    <mergeCell ref="P185:P186"/>
    <mergeCell ref="Q185:Q186"/>
    <mergeCell ref="Q189:Q191"/>
    <mergeCell ref="R185:R186"/>
    <mergeCell ref="Q192:Q196"/>
    <mergeCell ref="N153:N154"/>
    <mergeCell ref="N160:N161"/>
    <mergeCell ref="O153:O154"/>
    <mergeCell ref="N158:N159"/>
    <mergeCell ref="N185:N186"/>
    <mergeCell ref="N183:N184"/>
    <mergeCell ref="J145:J146"/>
    <mergeCell ref="N135:N137"/>
    <mergeCell ref="J143:J144"/>
    <mergeCell ref="N145:N146"/>
    <mergeCell ref="O150:O152"/>
    <mergeCell ref="N150:N152"/>
    <mergeCell ref="N147:N149"/>
    <mergeCell ref="J185:J186"/>
    <mergeCell ref="S189:S191"/>
    <mergeCell ref="N174:N176"/>
    <mergeCell ref="D168:D169"/>
    <mergeCell ref="B229:M229"/>
    <mergeCell ref="B224:M224"/>
    <mergeCell ref="O218:O219"/>
    <mergeCell ref="A214:A215"/>
    <mergeCell ref="N214:N215"/>
    <mergeCell ref="O214:O215"/>
    <mergeCell ref="B227:M227"/>
    <mergeCell ref="B225:M225"/>
    <mergeCell ref="C218:C219"/>
    <mergeCell ref="D218:D219"/>
    <mergeCell ref="B214:B215"/>
    <mergeCell ref="C214:C215"/>
    <mergeCell ref="B202:B203"/>
    <mergeCell ref="C202:C203"/>
    <mergeCell ref="C168:C169"/>
    <mergeCell ref="D222:D223"/>
    <mergeCell ref="H211:H212"/>
    <mergeCell ref="A192:A196"/>
    <mergeCell ref="B192:B196"/>
    <mergeCell ref="C192:C196"/>
    <mergeCell ref="O174:O176"/>
    <mergeCell ref="A234:D234"/>
    <mergeCell ref="B226:M226"/>
    <mergeCell ref="B228:M228"/>
    <mergeCell ref="H145:H146"/>
    <mergeCell ref="I145:I146"/>
    <mergeCell ref="D192:D196"/>
    <mergeCell ref="A185:A186"/>
    <mergeCell ref="B185:B186"/>
    <mergeCell ref="C185:C186"/>
    <mergeCell ref="D185:D186"/>
    <mergeCell ref="A189:A191"/>
    <mergeCell ref="B189:B191"/>
    <mergeCell ref="C189:C191"/>
    <mergeCell ref="A183:A184"/>
    <mergeCell ref="D189:D191"/>
    <mergeCell ref="E185:E186"/>
    <mergeCell ref="F185:F186"/>
    <mergeCell ref="G185:G186"/>
    <mergeCell ref="C197:C200"/>
    <mergeCell ref="D197:D200"/>
    <mergeCell ref="A174:A176"/>
    <mergeCell ref="B174:B176"/>
    <mergeCell ref="A160:A161"/>
    <mergeCell ref="B160:B161"/>
  </mergeCells>
  <hyperlinks>
    <hyperlink ref="K160" r:id="rId1" tooltip="Ссылка на КонсультантПлюс" display="consultantplus://offline/ref=3D0D1FA37BFC4FD4827B32A30E9945BF67DC73B15484D8628C3ABC299E17C3F496000D574D34C6CC6399B441G5dBH"/>
  </hyperlinks>
  <pageMargins left="0.7" right="0.7" top="0.75" bottom="0.75" header="0.3" footer="0.3"/>
  <pageSetup paperSize="9" scale="38" fitToHeight="0"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opLeftCell="A45" workbookViewId="0">
      <selection activeCell="D21" sqref="D21:H21"/>
    </sheetView>
  </sheetViews>
  <sheetFormatPr defaultRowHeight="15" x14ac:dyDescent="0.25"/>
  <cols>
    <col min="1" max="1" width="14.7109375" style="14" customWidth="1"/>
    <col min="2" max="2" width="87.85546875" style="1" customWidth="1"/>
    <col min="3" max="3" width="16.85546875" customWidth="1"/>
    <col min="4" max="4" width="15.42578125" customWidth="1"/>
    <col min="5" max="5" width="17" customWidth="1"/>
    <col min="6" max="6" width="16.7109375" customWidth="1"/>
    <col min="7" max="7" width="15.7109375" customWidth="1"/>
    <col min="8" max="8" width="16.85546875" customWidth="1"/>
  </cols>
  <sheetData>
    <row r="1" spans="1:8" x14ac:dyDescent="0.25">
      <c r="A1" s="13" t="s">
        <v>336</v>
      </c>
    </row>
    <row r="3" spans="1:8" x14ac:dyDescent="0.25">
      <c r="A3" s="14" t="s">
        <v>335</v>
      </c>
    </row>
    <row r="5" spans="1:8" ht="45" x14ac:dyDescent="0.25">
      <c r="A5" s="53" t="s">
        <v>0</v>
      </c>
      <c r="B5" s="59" t="s">
        <v>1</v>
      </c>
      <c r="C5" s="59" t="s">
        <v>13</v>
      </c>
      <c r="D5" s="59"/>
      <c r="E5" s="9" t="s">
        <v>14</v>
      </c>
      <c r="F5" s="59" t="s">
        <v>15</v>
      </c>
      <c r="G5" s="61"/>
      <c r="H5" s="61"/>
    </row>
    <row r="6" spans="1:8" x14ac:dyDescent="0.25">
      <c r="A6" s="54"/>
      <c r="B6" s="59"/>
      <c r="C6" s="11" t="s">
        <v>11</v>
      </c>
      <c r="D6" s="11" t="s">
        <v>12</v>
      </c>
      <c r="E6" s="11" t="s">
        <v>11</v>
      </c>
      <c r="F6" s="11" t="s">
        <v>11</v>
      </c>
      <c r="G6" s="11" t="s">
        <v>11</v>
      </c>
      <c r="H6" s="11" t="s">
        <v>11</v>
      </c>
    </row>
    <row r="7" spans="1:8" x14ac:dyDescent="0.25">
      <c r="A7" s="12">
        <v>1</v>
      </c>
      <c r="B7" s="10">
        <v>2</v>
      </c>
      <c r="C7" s="10">
        <v>3</v>
      </c>
      <c r="D7" s="10">
        <v>4</v>
      </c>
      <c r="E7" s="10">
        <v>5</v>
      </c>
      <c r="F7" s="10">
        <v>6</v>
      </c>
      <c r="G7" s="10">
        <v>7</v>
      </c>
      <c r="H7" s="10">
        <v>8</v>
      </c>
    </row>
    <row r="8" spans="1:8" ht="42.75" x14ac:dyDescent="0.25">
      <c r="A8" s="4" t="s">
        <v>53</v>
      </c>
      <c r="B8" s="3" t="s">
        <v>52</v>
      </c>
      <c r="C8" s="17" t="e">
        <f t="shared" ref="C8:H8" si="0">SUM(C9:C36)</f>
        <v>#REF!</v>
      </c>
      <c r="D8" s="17" t="e">
        <f t="shared" si="0"/>
        <v>#REF!</v>
      </c>
      <c r="E8" s="17" t="e">
        <f t="shared" si="0"/>
        <v>#REF!</v>
      </c>
      <c r="F8" s="17" t="e">
        <f t="shared" si="0"/>
        <v>#REF!</v>
      </c>
      <c r="G8" s="17" t="e">
        <f t="shared" si="0"/>
        <v>#REF!</v>
      </c>
      <c r="H8" s="17" t="e">
        <f t="shared" si="0"/>
        <v>#REF!</v>
      </c>
    </row>
    <row r="9" spans="1:8" ht="45" x14ac:dyDescent="0.25">
      <c r="A9" s="15">
        <v>2102</v>
      </c>
      <c r="B9" s="7" t="s">
        <v>124</v>
      </c>
      <c r="C9" s="16" t="e">
        <f>Лист1!#REF!+Лист1!#REF!+Лист1!N222</f>
        <v>#REF!</v>
      </c>
      <c r="D9" s="16" t="e">
        <f>Лист1!#REF!+Лист1!#REF!+Лист1!O222</f>
        <v>#REF!</v>
      </c>
      <c r="E9" s="16" t="e">
        <f>Лист1!#REF!+Лист1!#REF!+Лист1!P222</f>
        <v>#REF!</v>
      </c>
      <c r="F9" s="16" t="e">
        <f>Лист1!#REF!+Лист1!#REF!+Лист1!Q222</f>
        <v>#REF!</v>
      </c>
      <c r="G9" s="16" t="e">
        <f>Лист1!#REF!+Лист1!#REF!+Лист1!R222</f>
        <v>#REF!</v>
      </c>
      <c r="H9" s="16" t="e">
        <f>Лист1!#REF!+Лист1!#REF!+Лист1!S222</f>
        <v>#REF!</v>
      </c>
    </row>
    <row r="10" spans="1:8" ht="30" x14ac:dyDescent="0.25">
      <c r="A10" s="7">
        <v>2104</v>
      </c>
      <c r="B10" s="7" t="s">
        <v>345</v>
      </c>
      <c r="C10" s="16">
        <f>Лист1!N49</f>
        <v>691807.89</v>
      </c>
      <c r="D10" s="16">
        <f>Лист1!O49</f>
        <v>691807.89</v>
      </c>
      <c r="E10" s="16">
        <f>Лист1!P49</f>
        <v>500000</v>
      </c>
      <c r="F10" s="16">
        <f>Лист1!Q49</f>
        <v>500000</v>
      </c>
      <c r="G10" s="16">
        <f>Лист1!R49</f>
        <v>610000</v>
      </c>
      <c r="H10" s="16">
        <f>Лист1!S49</f>
        <v>610000</v>
      </c>
    </row>
    <row r="11" spans="1:8" ht="45" x14ac:dyDescent="0.25">
      <c r="A11" s="7">
        <v>2105</v>
      </c>
      <c r="B11" s="7" t="s">
        <v>192</v>
      </c>
      <c r="C11" s="16">
        <f>Лист1!N132</f>
        <v>13168326.16</v>
      </c>
      <c r="D11" s="16">
        <f>Лист1!O132</f>
        <v>12315339.710000001</v>
      </c>
      <c r="E11" s="16">
        <f>Лист1!P132</f>
        <v>1000000</v>
      </c>
      <c r="F11" s="16">
        <f>Лист1!Q132</f>
        <v>1000000</v>
      </c>
      <c r="G11" s="16">
        <f>Лист1!R132</f>
        <v>1000000</v>
      </c>
      <c r="H11" s="16">
        <f>Лист1!S132</f>
        <v>1000000</v>
      </c>
    </row>
    <row r="12" spans="1:8" ht="105" x14ac:dyDescent="0.25">
      <c r="A12" s="2">
        <v>2106</v>
      </c>
      <c r="B12" s="2" t="s">
        <v>201</v>
      </c>
      <c r="C12" s="16">
        <f>Лист1!N135</f>
        <v>318867741.71999997</v>
      </c>
      <c r="D12" s="16">
        <f>Лист1!O135</f>
        <v>311925459.95000005</v>
      </c>
      <c r="E12" s="16">
        <f>Лист1!P135</f>
        <v>102454782</v>
      </c>
      <c r="F12" s="16">
        <f>Лист1!Q135</f>
        <v>102454782</v>
      </c>
      <c r="G12" s="16">
        <f>Лист1!R135</f>
        <v>105041661</v>
      </c>
      <c r="H12" s="16">
        <f>Лист1!S135</f>
        <v>105041661</v>
      </c>
    </row>
    <row r="13" spans="1:8" ht="75" x14ac:dyDescent="0.25">
      <c r="A13" s="7">
        <v>2107</v>
      </c>
      <c r="B13" s="7" t="s">
        <v>38</v>
      </c>
      <c r="C13" s="16">
        <f>Лист1!N139+Лист1!N65+Лист1!N53+Лист1!N11</f>
        <v>30620913.07</v>
      </c>
      <c r="D13" s="16">
        <f>Лист1!O139+Лист1!O65+Лист1!O53+Лист1!O11</f>
        <v>30608666.919999998</v>
      </c>
      <c r="E13" s="16">
        <f>Лист1!P139+Лист1!P65+Лист1!P53+Лист1!P11</f>
        <v>74234938</v>
      </c>
      <c r="F13" s="16">
        <f>Лист1!Q139+Лист1!Q65+Лист1!Q53+Лист1!Q11</f>
        <v>15229000</v>
      </c>
      <c r="G13" s="16">
        <f>Лист1!R139+Лист1!R65+Лист1!R53+Лист1!R11</f>
        <v>18234921</v>
      </c>
      <c r="H13" s="16">
        <f>Лист1!S139+Лист1!S65+Лист1!S53+Лист1!S11</f>
        <v>18234921</v>
      </c>
    </row>
    <row r="14" spans="1:8" ht="30" x14ac:dyDescent="0.25">
      <c r="A14" s="7">
        <v>2108</v>
      </c>
      <c r="B14" s="7" t="s">
        <v>214</v>
      </c>
      <c r="C14" s="16">
        <f>Лист1!N141</f>
        <v>67353020</v>
      </c>
      <c r="D14" s="16">
        <f>Лист1!O141</f>
        <v>67318885.530000001</v>
      </c>
      <c r="E14" s="16">
        <f>Лист1!P141</f>
        <v>74256820</v>
      </c>
      <c r="F14" s="16">
        <f>Лист1!Q141</f>
        <v>74256820</v>
      </c>
      <c r="G14" s="16">
        <f>Лист1!R141</f>
        <v>74256820</v>
      </c>
      <c r="H14" s="16">
        <f>Лист1!S141</f>
        <v>74256820</v>
      </c>
    </row>
    <row r="15" spans="1:8" ht="30" x14ac:dyDescent="0.25">
      <c r="A15" s="7">
        <v>2111</v>
      </c>
      <c r="B15" s="7" t="s">
        <v>131</v>
      </c>
      <c r="C15" s="16">
        <f>Лист1!N78</f>
        <v>48373010.580000006</v>
      </c>
      <c r="D15" s="16">
        <f>Лист1!O78</f>
        <v>48372925.029999994</v>
      </c>
      <c r="E15" s="16">
        <f>Лист1!P78</f>
        <v>52219718</v>
      </c>
      <c r="F15" s="16">
        <f>Лист1!Q78</f>
        <v>49219718</v>
      </c>
      <c r="G15" s="16">
        <f>Лист1!R78</f>
        <v>52219718</v>
      </c>
      <c r="H15" s="16">
        <f>Лист1!S78</f>
        <v>52219718</v>
      </c>
    </row>
    <row r="16" spans="1:8" x14ac:dyDescent="0.25">
      <c r="A16" s="7">
        <v>2115</v>
      </c>
      <c r="B16" s="7" t="s">
        <v>143</v>
      </c>
      <c r="C16" s="16">
        <f>Лист1!N82</f>
        <v>2777971.73</v>
      </c>
      <c r="D16" s="16">
        <f>Лист1!O82</f>
        <v>2497924.38</v>
      </c>
      <c r="E16" s="16">
        <f>Лист1!P82</f>
        <v>2000000</v>
      </c>
      <c r="F16" s="16">
        <f>Лист1!Q82</f>
        <v>2000000</v>
      </c>
      <c r="G16" s="16">
        <f>Лист1!R82</f>
        <v>2000000</v>
      </c>
      <c r="H16" s="16">
        <f>Лист1!S82</f>
        <v>2000000</v>
      </c>
    </row>
    <row r="17" spans="1:8" ht="165" x14ac:dyDescent="0.25">
      <c r="A17" s="7">
        <v>2117</v>
      </c>
      <c r="B17" s="7" t="s">
        <v>150</v>
      </c>
      <c r="C17" s="16">
        <f>Лист1!N91+Лист1!N189</f>
        <v>665915102.06999993</v>
      </c>
      <c r="D17" s="16">
        <f>Лист1!O91+Лист1!O189</f>
        <v>656527540.70000005</v>
      </c>
      <c r="E17" s="16">
        <f>Лист1!P91+Лист1!P189</f>
        <v>748476436.66999996</v>
      </c>
      <c r="F17" s="16">
        <f>Лист1!Q91+Лист1!Q189</f>
        <v>717833136.66999996</v>
      </c>
      <c r="G17" s="16">
        <f>Лист1!R91+Лист1!R189</f>
        <v>739333136.66999996</v>
      </c>
      <c r="H17" s="16">
        <f>Лист1!S91+Лист1!S189</f>
        <v>739333136.66999996</v>
      </c>
    </row>
    <row r="18" spans="1:8" ht="30" x14ac:dyDescent="0.25">
      <c r="A18" s="7">
        <v>2119</v>
      </c>
      <c r="B18" s="7" t="s">
        <v>223</v>
      </c>
      <c r="C18" s="16">
        <f>Лист1!N143</f>
        <v>8883000</v>
      </c>
      <c r="D18" s="16">
        <f>Лист1!O143</f>
        <v>8825616.4800000004</v>
      </c>
      <c r="E18" s="16">
        <f>Лист1!P143</f>
        <v>6000000</v>
      </c>
      <c r="F18" s="16">
        <f>Лист1!Q143</f>
        <v>6000000</v>
      </c>
      <c r="G18" s="16">
        <f>Лист1!R143</f>
        <v>6000000</v>
      </c>
      <c r="H18" s="16">
        <f>Лист1!S143</f>
        <v>6000000</v>
      </c>
    </row>
    <row r="19" spans="1:8" ht="30" x14ac:dyDescent="0.25">
      <c r="A19" s="7">
        <v>2120</v>
      </c>
      <c r="B19" s="7" t="s">
        <v>284</v>
      </c>
      <c r="C19" s="16">
        <f>Лист1!N192</f>
        <v>60312807.719999999</v>
      </c>
      <c r="D19" s="16">
        <f>Лист1!O192</f>
        <v>58599080.009999998</v>
      </c>
      <c r="E19" s="16">
        <f>Лист1!P192</f>
        <v>61772381</v>
      </c>
      <c r="F19" s="16">
        <f>Лист1!Q192</f>
        <v>60467277</v>
      </c>
      <c r="G19" s="16">
        <f>Лист1!R192</f>
        <v>62816017</v>
      </c>
      <c r="H19" s="16">
        <f>Лист1!S192</f>
        <v>62816017</v>
      </c>
    </row>
    <row r="20" spans="1:8" ht="30" x14ac:dyDescent="0.25">
      <c r="A20" s="7">
        <v>2121</v>
      </c>
      <c r="B20" s="7" t="s">
        <v>346</v>
      </c>
      <c r="C20" s="16">
        <f>Лист1!N197</f>
        <v>64778714.109999999</v>
      </c>
      <c r="D20" s="16">
        <f>Лист1!O197</f>
        <v>63348161.050000004</v>
      </c>
      <c r="E20" s="16">
        <f>Лист1!P197</f>
        <v>116201514</v>
      </c>
      <c r="F20" s="16">
        <f>Лист1!Q197</f>
        <v>181604078</v>
      </c>
      <c r="G20" s="16">
        <f>Лист1!R197</f>
        <v>114904078</v>
      </c>
      <c r="H20" s="16">
        <f>Лист1!S197</f>
        <v>114904078</v>
      </c>
    </row>
    <row r="21" spans="1:8" ht="45" x14ac:dyDescent="0.25">
      <c r="A21" s="7">
        <v>2124</v>
      </c>
      <c r="B21" s="7" t="s">
        <v>275</v>
      </c>
      <c r="C21" s="16" t="e">
        <f>Лист1!N168+Лист1!#REF!</f>
        <v>#REF!</v>
      </c>
      <c r="D21" s="16" t="e">
        <f>Лист1!O168+Лист1!#REF!</f>
        <v>#REF!</v>
      </c>
      <c r="E21" s="16" t="e">
        <f>Лист1!P168+Лист1!#REF!</f>
        <v>#REF!</v>
      </c>
      <c r="F21" s="16" t="e">
        <f>Лист1!Q168+Лист1!#REF!</f>
        <v>#REF!</v>
      </c>
      <c r="G21" s="16" t="e">
        <f>Лист1!R168+Лист1!#REF!</f>
        <v>#REF!</v>
      </c>
      <c r="H21" s="16" t="e">
        <f>Лист1!S168+Лист1!#REF!</f>
        <v>#REF!</v>
      </c>
    </row>
    <row r="22" spans="1:8" ht="30" x14ac:dyDescent="0.25">
      <c r="A22" s="7">
        <v>2125</v>
      </c>
      <c r="B22" s="7" t="s">
        <v>225</v>
      </c>
      <c r="C22" s="16">
        <f>Лист1!N145</f>
        <v>72000</v>
      </c>
      <c r="D22" s="16">
        <f>Лист1!O145</f>
        <v>72000</v>
      </c>
      <c r="E22" s="16">
        <f>Лист1!P145</f>
        <v>36000</v>
      </c>
      <c r="F22" s="16">
        <f>Лист1!Q145</f>
        <v>36000</v>
      </c>
      <c r="G22" s="16">
        <f>Лист1!R145</f>
        <v>36000</v>
      </c>
      <c r="H22" s="16">
        <f>Лист1!S145</f>
        <v>36000</v>
      </c>
    </row>
    <row r="23" spans="1:8" x14ac:dyDescent="0.25">
      <c r="A23" s="7">
        <v>2126</v>
      </c>
      <c r="B23" s="7" t="s">
        <v>41</v>
      </c>
      <c r="C23" s="16">
        <f>Лист1!N15</f>
        <v>4734179</v>
      </c>
      <c r="D23" s="16">
        <f>Лист1!O15</f>
        <v>4734179</v>
      </c>
      <c r="E23" s="16">
        <f>Лист1!P15</f>
        <v>5465305</v>
      </c>
      <c r="F23" s="16">
        <f>Лист1!Q15</f>
        <v>5435305</v>
      </c>
      <c r="G23" s="16">
        <f>Лист1!R15</f>
        <v>5435305</v>
      </c>
      <c r="H23" s="16">
        <f>Лист1!S15</f>
        <v>5435305</v>
      </c>
    </row>
    <row r="24" spans="1:8" x14ac:dyDescent="0.25">
      <c r="A24" s="7">
        <v>2127</v>
      </c>
      <c r="B24" s="7" t="s">
        <v>347</v>
      </c>
      <c r="C24" s="16">
        <f>Лист1!N147</f>
        <v>3016990.88</v>
      </c>
      <c r="D24" s="16">
        <f>Лист1!O147</f>
        <v>3016989.88</v>
      </c>
      <c r="E24" s="16">
        <f>Лист1!P147</f>
        <v>4500000</v>
      </c>
      <c r="F24" s="16">
        <f>Лист1!Q147</f>
        <v>4500000</v>
      </c>
      <c r="G24" s="16">
        <f>Лист1!R147</f>
        <v>4500000</v>
      </c>
      <c r="H24" s="16">
        <f>Лист1!S147</f>
        <v>4500000</v>
      </c>
    </row>
    <row r="25" spans="1:8" x14ac:dyDescent="0.25">
      <c r="A25" s="7">
        <v>2128</v>
      </c>
      <c r="B25" s="7" t="s">
        <v>348</v>
      </c>
      <c r="C25" s="16">
        <f>Лист1!N150</f>
        <v>6363636.3700000001</v>
      </c>
      <c r="D25" s="16">
        <f>Лист1!O150</f>
        <v>6232425.5999999996</v>
      </c>
      <c r="E25" s="16">
        <f>Лист1!P150</f>
        <v>100000</v>
      </c>
      <c r="F25" s="16">
        <f>Лист1!Q150</f>
        <v>100000</v>
      </c>
      <c r="G25" s="16">
        <f>Лист1!R150</f>
        <v>100000</v>
      </c>
      <c r="H25" s="16">
        <f>Лист1!S150</f>
        <v>100000</v>
      </c>
    </row>
    <row r="26" spans="1:8" ht="165" x14ac:dyDescent="0.25">
      <c r="A26" s="7">
        <v>2129</v>
      </c>
      <c r="B26" s="7" t="s">
        <v>256</v>
      </c>
      <c r="C26" s="16">
        <f>Лист1!N153</f>
        <v>254603344.18000001</v>
      </c>
      <c r="D26" s="16">
        <f>Лист1!O153</f>
        <v>254594328.42000002</v>
      </c>
      <c r="E26" s="16">
        <f>Лист1!P153</f>
        <v>85205800</v>
      </c>
      <c r="F26" s="16">
        <f>Лист1!Q153</f>
        <v>159896240</v>
      </c>
      <c r="G26" s="16">
        <f>Лист1!R153</f>
        <v>65136658</v>
      </c>
      <c r="H26" s="16">
        <f>Лист1!S153</f>
        <v>65136658</v>
      </c>
    </row>
    <row r="27" spans="1:8" ht="180" x14ac:dyDescent="0.25">
      <c r="A27" s="7">
        <v>2130</v>
      </c>
      <c r="B27" s="7" t="s">
        <v>109</v>
      </c>
      <c r="C27" s="16">
        <f>Лист1!N54+Лист1!N209</f>
        <v>3201999.84</v>
      </c>
      <c r="D27" s="16">
        <f>Лист1!O54+Лист1!O209</f>
        <v>3201999.51</v>
      </c>
      <c r="E27" s="16">
        <f>Лист1!P54+Лист1!P209</f>
        <v>3500000</v>
      </c>
      <c r="F27" s="16">
        <f>Лист1!Q54+Лист1!Q209</f>
        <v>2157000</v>
      </c>
      <c r="G27" s="16">
        <f>Лист1!R54+Лист1!R209</f>
        <v>2657000</v>
      </c>
      <c r="H27" s="16">
        <f>Лист1!S54+Лист1!S209</f>
        <v>2657000</v>
      </c>
    </row>
    <row r="28" spans="1:8" ht="30" x14ac:dyDescent="0.25">
      <c r="A28" s="7">
        <v>2131</v>
      </c>
      <c r="B28" s="7" t="s">
        <v>349</v>
      </c>
      <c r="C28" s="16">
        <f>Лист1!N211</f>
        <v>268500</v>
      </c>
      <c r="D28" s="16">
        <f>Лист1!O211</f>
        <v>262500</v>
      </c>
      <c r="E28" s="16">
        <f>Лист1!P211</f>
        <v>500000</v>
      </c>
      <c r="F28" s="16">
        <f>Лист1!Q211</f>
        <v>500000</v>
      </c>
      <c r="G28" s="16">
        <f>Лист1!R211</f>
        <v>500000</v>
      </c>
      <c r="H28" s="16">
        <f>Лист1!S211</f>
        <v>500000</v>
      </c>
    </row>
    <row r="29" spans="1:8" ht="61.5" customHeight="1" x14ac:dyDescent="0.25">
      <c r="A29" s="7">
        <v>2138</v>
      </c>
      <c r="B29" s="7" t="s">
        <v>350</v>
      </c>
      <c r="C29" s="16" t="e">
        <f>Лист1!#REF!+Лист1!N17</f>
        <v>#REF!</v>
      </c>
      <c r="D29" s="16" t="e">
        <f>Лист1!#REF!+Лист1!O17</f>
        <v>#REF!</v>
      </c>
      <c r="E29" s="16" t="e">
        <f>Лист1!#REF!+Лист1!P17</f>
        <v>#REF!</v>
      </c>
      <c r="F29" s="16" t="e">
        <f>Лист1!#REF!+Лист1!Q17</f>
        <v>#REF!</v>
      </c>
      <c r="G29" s="16" t="e">
        <f>Лист1!#REF!+Лист1!R17</f>
        <v>#REF!</v>
      </c>
      <c r="H29" s="16" t="e">
        <f>Лист1!#REF!+Лист1!S17</f>
        <v>#REF!</v>
      </c>
    </row>
    <row r="30" spans="1:8" ht="30" x14ac:dyDescent="0.25">
      <c r="A30" s="7">
        <v>2139</v>
      </c>
      <c r="B30" s="7" t="s">
        <v>267</v>
      </c>
      <c r="C30" s="16">
        <f>Лист1!N177</f>
        <v>63754140.840000004</v>
      </c>
      <c r="D30" s="16">
        <f>Лист1!O177</f>
        <v>63152250.299999997</v>
      </c>
      <c r="E30" s="16">
        <f>Лист1!P177</f>
        <v>32690988</v>
      </c>
      <c r="F30" s="16">
        <f>Лист1!Q177</f>
        <v>32690988</v>
      </c>
      <c r="G30" s="16">
        <f>Лист1!R177</f>
        <v>32690988</v>
      </c>
      <c r="H30" s="16">
        <f>Лист1!S177</f>
        <v>32690988</v>
      </c>
    </row>
    <row r="31" spans="1:8" ht="30" x14ac:dyDescent="0.25">
      <c r="A31" s="21">
        <v>2141</v>
      </c>
      <c r="B31" s="21" t="str">
        <f>Лист1!B33</f>
        <v>поддержка деятельности некоммерческих организаций, за исключением социально ориентированных организаций</v>
      </c>
      <c r="C31" s="16">
        <f>Лист1!N33</f>
        <v>446890</v>
      </c>
      <c r="D31" s="16">
        <f>Лист1!O33</f>
        <v>446890</v>
      </c>
      <c r="E31" s="16">
        <f>Лист1!P33</f>
        <v>565316</v>
      </c>
      <c r="F31" s="16">
        <f>Лист1!Q33</f>
        <v>565316</v>
      </c>
      <c r="G31" s="16">
        <f>Лист1!R33</f>
        <v>565316</v>
      </c>
      <c r="H31" s="16">
        <f>Лист1!S33</f>
        <v>565316</v>
      </c>
    </row>
    <row r="32" spans="1:8" ht="24" customHeight="1" x14ac:dyDescent="0.25">
      <c r="A32" s="7">
        <v>2201</v>
      </c>
      <c r="B32" s="7" t="str">
        <f>Лист1!B27</f>
        <v xml:space="preserve">материально-техническое и финансовое обеспечение деятельности органов местного самоуправления </v>
      </c>
      <c r="C32" s="16" t="e">
        <f>Лист1!N27+Лист1!N113+Лист1!#REF!+Лист1!N158+Лист1!N183+Лист1!N202+Лист1!N214+Лист1!N218</f>
        <v>#REF!</v>
      </c>
      <c r="D32" s="16" t="e">
        <f>Лист1!O27+Лист1!O113+Лист1!#REF!+Лист1!O158+Лист1!O183+Лист1!O202+Лист1!O214+Лист1!O218</f>
        <v>#REF!</v>
      </c>
      <c r="E32" s="16" t="e">
        <f>Лист1!P27+Лист1!P113+Лист1!#REF!+Лист1!P158+Лист1!P183+Лист1!P202+Лист1!P214+Лист1!P218</f>
        <v>#REF!</v>
      </c>
      <c r="F32" s="16" t="e">
        <f>Лист1!Q27+Лист1!Q113+Лист1!#REF!+Лист1!Q158+Лист1!Q183+Лист1!Q202+Лист1!Q214+Лист1!Q218</f>
        <v>#REF!</v>
      </c>
      <c r="G32" s="16" t="e">
        <f>Лист1!R27+Лист1!R113+Лист1!#REF!+Лист1!R158+Лист1!R183+Лист1!R202+Лист1!R214+Лист1!R218</f>
        <v>#REF!</v>
      </c>
      <c r="H32" s="16" t="e">
        <f>Лист1!S27+Лист1!S113+Лист1!#REF!+Лист1!S158+Лист1!S183+Лист1!S202+Лист1!S214+Лист1!S218</f>
        <v>#REF!</v>
      </c>
    </row>
    <row r="33" spans="1:8" x14ac:dyDescent="0.25">
      <c r="A33" s="7">
        <v>2202</v>
      </c>
      <c r="B33" s="7" t="s">
        <v>351</v>
      </c>
      <c r="C33" s="16">
        <f>Лист1!N71</f>
        <v>3535</v>
      </c>
      <c r="D33" s="16">
        <f>Лист1!O71</f>
        <v>3534.25</v>
      </c>
      <c r="E33" s="16">
        <f>Лист1!P71</f>
        <v>13615</v>
      </c>
      <c r="F33" s="16">
        <f>Лист1!Q71</f>
        <v>0</v>
      </c>
      <c r="G33" s="16">
        <f>Лист1!R71</f>
        <v>0</v>
      </c>
      <c r="H33" s="16">
        <f>Лист1!S71</f>
        <v>0</v>
      </c>
    </row>
    <row r="34" spans="1:8" ht="60" x14ac:dyDescent="0.25">
      <c r="A34" s="8">
        <v>2206</v>
      </c>
      <c r="B34" s="7" t="s">
        <v>338</v>
      </c>
      <c r="C34" s="16" t="e">
        <f>Лист1!N29+Лист1!#REF!+Лист1!N160+Лист1!N185</f>
        <v>#REF!</v>
      </c>
      <c r="D34" s="16" t="e">
        <f>Лист1!O29+Лист1!#REF!+Лист1!O160+Лист1!O185</f>
        <v>#REF!</v>
      </c>
      <c r="E34" s="16" t="e">
        <f>Лист1!P29+Лист1!#REF!+Лист1!P160+Лист1!P185</f>
        <v>#REF!</v>
      </c>
      <c r="F34" s="16" t="e">
        <f>Лист1!Q29+Лист1!#REF!+Лист1!Q160+Лист1!Q185</f>
        <v>#REF!</v>
      </c>
      <c r="G34" s="16" t="e">
        <f>Лист1!R29+Лист1!#REF!+Лист1!R160+Лист1!R185</f>
        <v>#REF!</v>
      </c>
      <c r="H34" s="16" t="e">
        <f>Лист1!S29+Лист1!#REF!+Лист1!S160+Лист1!S185</f>
        <v>#REF!</v>
      </c>
    </row>
    <row r="35" spans="1:8" ht="75" x14ac:dyDescent="0.25">
      <c r="A35" s="7">
        <v>2211</v>
      </c>
      <c r="B35" s="21" t="s">
        <v>353</v>
      </c>
      <c r="C35" s="16" t="e">
        <f>Лист1!#REF!</f>
        <v>#REF!</v>
      </c>
      <c r="D35" s="16" t="e">
        <f>Лист1!#REF!</f>
        <v>#REF!</v>
      </c>
      <c r="E35" s="16" t="e">
        <f>Лист1!#REF!</f>
        <v>#REF!</v>
      </c>
      <c r="F35" s="16" t="e">
        <f>Лист1!#REF!</f>
        <v>#REF!</v>
      </c>
      <c r="G35" s="16" t="e">
        <f>Лист1!#REF!</f>
        <v>#REF!</v>
      </c>
      <c r="H35" s="16" t="e">
        <f>Лист1!#REF!</f>
        <v>#REF!</v>
      </c>
    </row>
    <row r="36" spans="1:8" ht="30" x14ac:dyDescent="0.25">
      <c r="A36" s="21">
        <v>2218</v>
      </c>
      <c r="B36" s="21" t="s">
        <v>320</v>
      </c>
      <c r="C36" s="16" t="e">
        <f>Лист1!#REF!</f>
        <v>#REF!</v>
      </c>
      <c r="D36" s="16" t="e">
        <f>Лист1!#REF!</f>
        <v>#REF!</v>
      </c>
      <c r="E36" s="16" t="e">
        <f>Лист1!#REF!</f>
        <v>#REF!</v>
      </c>
      <c r="F36" s="16" t="e">
        <f>Лист1!#REF!</f>
        <v>#REF!</v>
      </c>
      <c r="G36" s="16" t="e">
        <f>Лист1!#REF!</f>
        <v>#REF!</v>
      </c>
      <c r="H36" s="16" t="e">
        <f>Лист1!#REF!</f>
        <v>#REF!</v>
      </c>
    </row>
    <row r="37" spans="1:8" ht="57" x14ac:dyDescent="0.25">
      <c r="A37" s="3" t="s">
        <v>51</v>
      </c>
      <c r="B37" s="3" t="s">
        <v>50</v>
      </c>
      <c r="C37" s="17" t="e">
        <f t="shared" ref="C37:H37" si="1">SUM(C38:C47)</f>
        <v>#REF!</v>
      </c>
      <c r="D37" s="17" t="e">
        <f t="shared" si="1"/>
        <v>#REF!</v>
      </c>
      <c r="E37" s="17" t="e">
        <f t="shared" si="1"/>
        <v>#REF!</v>
      </c>
      <c r="F37" s="17" t="e">
        <f t="shared" si="1"/>
        <v>#REF!</v>
      </c>
      <c r="G37" s="17" t="e">
        <f t="shared" si="1"/>
        <v>#REF!</v>
      </c>
      <c r="H37" s="17" t="e">
        <f t="shared" si="1"/>
        <v>#REF!</v>
      </c>
    </row>
    <row r="38" spans="1:8" x14ac:dyDescent="0.25">
      <c r="A38" s="7">
        <v>2603</v>
      </c>
      <c r="B38" s="7" t="s">
        <v>340</v>
      </c>
      <c r="C38" s="16" t="e">
        <f>Лист1!#REF!</f>
        <v>#REF!</v>
      </c>
      <c r="D38" s="16" t="e">
        <f>Лист1!#REF!</f>
        <v>#REF!</v>
      </c>
      <c r="E38" s="16" t="e">
        <f>Лист1!#REF!</f>
        <v>#REF!</v>
      </c>
      <c r="F38" s="16" t="e">
        <f>Лист1!#REF!</f>
        <v>#REF!</v>
      </c>
      <c r="G38" s="16" t="e">
        <f>Лист1!#REF!</f>
        <v>#REF!</v>
      </c>
      <c r="H38" s="16" t="e">
        <f>Лист1!#REF!</f>
        <v>#REF!</v>
      </c>
    </row>
    <row r="39" spans="1:8" x14ac:dyDescent="0.25">
      <c r="A39" s="2">
        <v>2605</v>
      </c>
      <c r="B39" s="2" t="s">
        <v>339</v>
      </c>
      <c r="C39" s="16">
        <f>Лист1!N37</f>
        <v>354140</v>
      </c>
      <c r="D39" s="16">
        <f>Лист1!O37</f>
        <v>354139.86</v>
      </c>
      <c r="E39" s="16">
        <f>Лист1!P37</f>
        <v>436900</v>
      </c>
      <c r="F39" s="16">
        <f>Лист1!Q37</f>
        <v>436900</v>
      </c>
      <c r="G39" s="16">
        <f>Лист1!R37</f>
        <v>436900</v>
      </c>
      <c r="H39" s="16">
        <f>Лист1!S37</f>
        <v>436900</v>
      </c>
    </row>
    <row r="40" spans="1:8" ht="135" x14ac:dyDescent="0.25">
      <c r="A40" s="2">
        <v>2622</v>
      </c>
      <c r="B40" s="2" t="s">
        <v>354</v>
      </c>
      <c r="C40" s="16" t="e">
        <f>Лист1!#REF!+Лист1!N117+Лист1!N120+Лист1!#REF!</f>
        <v>#REF!</v>
      </c>
      <c r="D40" s="16" t="e">
        <f>Лист1!#REF!+Лист1!O117+Лист1!O120+Лист1!#REF!</f>
        <v>#REF!</v>
      </c>
      <c r="E40" s="16" t="e">
        <f>Лист1!#REF!+Лист1!P117+Лист1!P120+Лист1!#REF!</f>
        <v>#REF!</v>
      </c>
      <c r="F40" s="16" t="e">
        <f>Лист1!#REF!+Лист1!Q117+Лист1!Q120+Лист1!#REF!</f>
        <v>#REF!</v>
      </c>
      <c r="G40" s="16" t="e">
        <f>Лист1!#REF!+Лист1!R117+Лист1!R120+Лист1!#REF!</f>
        <v>#REF!</v>
      </c>
      <c r="H40" s="16" t="e">
        <f>Лист1!#REF!+Лист1!S117+Лист1!S120+Лист1!#REF!</f>
        <v>#REF!</v>
      </c>
    </row>
    <row r="41" spans="1:8" ht="30" x14ac:dyDescent="0.25">
      <c r="A41" s="7">
        <v>2628</v>
      </c>
      <c r="B41" s="7" t="s">
        <v>341</v>
      </c>
      <c r="C41" s="16">
        <f>Лист1!N61</f>
        <v>126051340.47</v>
      </c>
      <c r="D41" s="16">
        <f>Лист1!O61</f>
        <v>126048812.44</v>
      </c>
      <c r="E41" s="16">
        <f>Лист1!P61</f>
        <v>114862300</v>
      </c>
      <c r="F41" s="16">
        <f>Лист1!Q61</f>
        <v>114859700</v>
      </c>
      <c r="G41" s="16">
        <f>Лист1!R61</f>
        <v>90722000</v>
      </c>
      <c r="H41" s="16">
        <f>Лист1!S61</f>
        <v>90722000</v>
      </c>
    </row>
    <row r="42" spans="1:8" ht="180" x14ac:dyDescent="0.25">
      <c r="A42" s="2">
        <v>2640</v>
      </c>
      <c r="B42" s="2" t="s">
        <v>355</v>
      </c>
      <c r="C42" s="16" t="e">
        <f>Лист1!N119+Лист1!#REF!+Лист1!#REF!+Лист1!#REF!</f>
        <v>#REF!</v>
      </c>
      <c r="D42" s="16" t="e">
        <f>Лист1!O119+Лист1!#REF!+Лист1!#REF!+Лист1!#REF!</f>
        <v>#REF!</v>
      </c>
      <c r="E42" s="16" t="e">
        <f>Лист1!P119+Лист1!#REF!+Лист1!#REF!+Лист1!#REF!</f>
        <v>#REF!</v>
      </c>
      <c r="F42" s="16" t="e">
        <f>Лист1!Q119+Лист1!#REF!+Лист1!#REF!+Лист1!#REF!</f>
        <v>#REF!</v>
      </c>
      <c r="G42" s="16" t="e">
        <f>Лист1!R119+Лист1!#REF!+Лист1!#REF!+Лист1!#REF!</f>
        <v>#REF!</v>
      </c>
      <c r="H42" s="16" t="e">
        <f>Лист1!S119+Лист1!#REF!+Лист1!#REF!+Лист1!#REF!</f>
        <v>#REF!</v>
      </c>
    </row>
    <row r="43" spans="1:8" ht="75" x14ac:dyDescent="0.25">
      <c r="A43" s="7">
        <v>2641</v>
      </c>
      <c r="B43" s="7" t="s">
        <v>356</v>
      </c>
      <c r="C43" s="16">
        <f>Лист1!N38+Лист1!N40+Лист1!N42</f>
        <v>4523935</v>
      </c>
      <c r="D43" s="16">
        <f>Лист1!O38+Лист1!O40+Лист1!O42</f>
        <v>4521982.0999999996</v>
      </c>
      <c r="E43" s="16">
        <f>Лист1!P38+Лист1!P40+Лист1!P42</f>
        <v>4877000</v>
      </c>
      <c r="F43" s="16">
        <f>Лист1!Q38+Лист1!Q40+Лист1!Q42</f>
        <v>4877000</v>
      </c>
      <c r="G43" s="16">
        <f>Лист1!R38+Лист1!R40+Лист1!R42</f>
        <v>4877000</v>
      </c>
      <c r="H43" s="16">
        <f>Лист1!S38+Лист1!S40+Лист1!S42</f>
        <v>4877000</v>
      </c>
    </row>
    <row r="44" spans="1:8" x14ac:dyDescent="0.25">
      <c r="A44" s="7">
        <v>2642</v>
      </c>
      <c r="B44" s="2" t="s">
        <v>342</v>
      </c>
      <c r="C44" s="16">
        <f>Лист1!N122</f>
        <v>12981290</v>
      </c>
      <c r="D44" s="16">
        <f>Лист1!O122</f>
        <v>12527547.18</v>
      </c>
      <c r="E44" s="16">
        <f>Лист1!P122</f>
        <v>16045000</v>
      </c>
      <c r="F44" s="16">
        <f>Лист1!Q122</f>
        <v>16045000</v>
      </c>
      <c r="G44" s="16">
        <f>Лист1!R122</f>
        <v>16045000</v>
      </c>
      <c r="H44" s="16">
        <f>Лист1!S122</f>
        <v>16045000</v>
      </c>
    </row>
    <row r="45" spans="1:8" ht="105" x14ac:dyDescent="0.25">
      <c r="A45" s="22">
        <v>2643</v>
      </c>
      <c r="B45" s="23" t="s">
        <v>359</v>
      </c>
      <c r="C45" s="16">
        <f>Лист1!N121</f>
        <v>18915517.48</v>
      </c>
      <c r="D45" s="16">
        <f>Лист1!O121</f>
        <v>18878349.190000001</v>
      </c>
      <c r="E45" s="16">
        <f>Лист1!P121</f>
        <v>24045600</v>
      </c>
      <c r="F45" s="16">
        <f>Лист1!Q121</f>
        <v>24045600</v>
      </c>
      <c r="G45" s="16">
        <f>Лист1!R121</f>
        <v>24045600</v>
      </c>
      <c r="H45" s="16">
        <f>Лист1!S121</f>
        <v>24045600</v>
      </c>
    </row>
    <row r="46" spans="1:8" ht="60" x14ac:dyDescent="0.25">
      <c r="A46" s="2">
        <v>2660</v>
      </c>
      <c r="B46" s="2" t="s">
        <v>344</v>
      </c>
      <c r="C46" s="16">
        <f>Лист1!N164</f>
        <v>2452737</v>
      </c>
      <c r="D46" s="16">
        <f>Лист1!O164</f>
        <v>2367571</v>
      </c>
      <c r="E46" s="16">
        <f>Лист1!P164</f>
        <v>2576500</v>
      </c>
      <c r="F46" s="16">
        <f>Лист1!Q164</f>
        <v>1693800</v>
      </c>
      <c r="G46" s="16">
        <f>Лист1!R164</f>
        <v>1693800</v>
      </c>
      <c r="H46" s="16">
        <f>Лист1!S164</f>
        <v>1693800</v>
      </c>
    </row>
    <row r="47" spans="1:8" ht="45" x14ac:dyDescent="0.25">
      <c r="A47" s="7">
        <v>2670</v>
      </c>
      <c r="B47" s="7" t="s">
        <v>343</v>
      </c>
      <c r="C47" s="16">
        <f>Лист1!N163</f>
        <v>13029200</v>
      </c>
      <c r="D47" s="16">
        <f>Лист1!O163</f>
        <v>7972225.9000000004</v>
      </c>
      <c r="E47" s="16">
        <f>Лист1!P163</f>
        <v>15895700</v>
      </c>
      <c r="F47" s="16">
        <f>Лист1!Q163</f>
        <v>15895700</v>
      </c>
      <c r="G47" s="16">
        <f>Лист1!R163</f>
        <v>15895700</v>
      </c>
      <c r="H47" s="16">
        <f>Лист1!S163</f>
        <v>15895700</v>
      </c>
    </row>
    <row r="48" spans="1:8" x14ac:dyDescent="0.25">
      <c r="A48" s="4"/>
      <c r="B48" s="19" t="s">
        <v>337</v>
      </c>
      <c r="C48" s="17" t="e">
        <f>C8+C37</f>
        <v>#REF!</v>
      </c>
      <c r="D48" s="17" t="e">
        <f>D37+D8</f>
        <v>#REF!</v>
      </c>
      <c r="E48" s="17" t="e">
        <f>E37+E8</f>
        <v>#REF!</v>
      </c>
      <c r="F48" s="17" t="e">
        <f>F37+F8</f>
        <v>#REF!</v>
      </c>
      <c r="G48" s="17" t="e">
        <f>G37+G8</f>
        <v>#REF!</v>
      </c>
      <c r="H48" s="17" t="e">
        <f>H37+H8</f>
        <v>#REF!</v>
      </c>
    </row>
    <row r="49" spans="2:8" x14ac:dyDescent="0.25">
      <c r="B49" s="5" t="s">
        <v>357</v>
      </c>
      <c r="C49" s="6"/>
      <c r="D49" s="6"/>
      <c r="E49" s="6"/>
      <c r="F49" s="6"/>
      <c r="G49" s="6"/>
      <c r="H49" s="6"/>
    </row>
    <row r="50" spans="2:8" x14ac:dyDescent="0.25">
      <c r="C50" s="18" t="e">
        <f t="shared" ref="C50:H50" si="2">C48-C49</f>
        <v>#REF!</v>
      </c>
      <c r="D50" s="18" t="e">
        <f t="shared" si="2"/>
        <v>#REF!</v>
      </c>
      <c r="E50" s="18" t="e">
        <f t="shared" si="2"/>
        <v>#REF!</v>
      </c>
      <c r="F50" s="18" t="e">
        <f t="shared" si="2"/>
        <v>#REF!</v>
      </c>
      <c r="G50" s="18" t="e">
        <f t="shared" si="2"/>
        <v>#REF!</v>
      </c>
      <c r="H50" s="18" t="e">
        <f t="shared" si="2"/>
        <v>#REF!</v>
      </c>
    </row>
    <row r="52" spans="2:8" x14ac:dyDescent="0.25">
      <c r="C52" s="18">
        <v>2197002039.6799998</v>
      </c>
      <c r="D52" s="18">
        <v>2158639125.7800002</v>
      </c>
      <c r="E52" s="18">
        <v>2103817654.3</v>
      </c>
      <c r="F52" s="18">
        <v>1977338403</v>
      </c>
      <c r="G52" s="18">
        <v>1943385003</v>
      </c>
      <c r="H52" s="18">
        <v>1943385003</v>
      </c>
    </row>
    <row r="53" spans="2:8" x14ac:dyDescent="0.25">
      <c r="C53" s="18" t="e">
        <f t="shared" ref="C53:H53" si="3">C50-C52</f>
        <v>#REF!</v>
      </c>
      <c r="D53" s="18" t="e">
        <f t="shared" si="3"/>
        <v>#REF!</v>
      </c>
      <c r="E53" s="18" t="e">
        <f t="shared" si="3"/>
        <v>#REF!</v>
      </c>
      <c r="F53" s="18" t="e">
        <f t="shared" si="3"/>
        <v>#REF!</v>
      </c>
      <c r="G53" s="18" t="e">
        <f t="shared" si="3"/>
        <v>#REF!</v>
      </c>
      <c r="H53" s="18" t="e">
        <f t="shared" si="3"/>
        <v>#REF!</v>
      </c>
    </row>
  </sheetData>
  <mergeCells count="4">
    <mergeCell ref="C5:D5"/>
    <mergeCell ref="F5:H5"/>
    <mergeCell ref="A5:A6"/>
    <mergeCell ref="B5: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L39"/>
  <sheetViews>
    <sheetView workbookViewId="0">
      <selection activeCell="E20" sqref="E20"/>
    </sheetView>
  </sheetViews>
  <sheetFormatPr defaultRowHeight="15" x14ac:dyDescent="0.25"/>
  <cols>
    <col min="3" max="3" width="16.42578125" customWidth="1"/>
    <col min="4" max="4" width="14.5703125" customWidth="1"/>
    <col min="5" max="5" width="17.42578125" customWidth="1"/>
    <col min="6" max="6" width="16.85546875" customWidth="1"/>
    <col min="7" max="8" width="15" bestFit="1" customWidth="1"/>
    <col min="9" max="9" width="16.5703125" customWidth="1"/>
    <col min="10" max="10" width="16.28515625" customWidth="1"/>
    <col min="11" max="11" width="19.42578125" customWidth="1"/>
    <col min="12" max="12" width="15" bestFit="1" customWidth="1"/>
  </cols>
  <sheetData>
    <row r="4" spans="3:12" x14ac:dyDescent="0.25">
      <c r="C4" s="18">
        <v>2206682139</v>
      </c>
      <c r="D4" s="18">
        <v>2168585939</v>
      </c>
      <c r="E4" s="18">
        <v>2151028739</v>
      </c>
      <c r="F4" s="18"/>
      <c r="G4" s="18"/>
      <c r="H4" s="18"/>
      <c r="J4" s="18"/>
      <c r="K4" s="18"/>
      <c r="L4" s="18"/>
    </row>
    <row r="5" spans="3:12" x14ac:dyDescent="0.25">
      <c r="C5" s="18">
        <v>193683900</v>
      </c>
      <c r="D5" s="18">
        <v>193683900</v>
      </c>
      <c r="E5" s="18">
        <v>193683900</v>
      </c>
      <c r="F5" s="18"/>
      <c r="G5" s="18"/>
      <c r="H5" s="18"/>
      <c r="I5" s="30"/>
      <c r="J5" s="30"/>
      <c r="K5" s="30"/>
      <c r="L5" s="30"/>
    </row>
    <row r="6" spans="3:12" x14ac:dyDescent="0.25">
      <c r="C6" s="18">
        <v>3189000</v>
      </c>
      <c r="D6" s="18">
        <v>3189000</v>
      </c>
      <c r="E6" s="18">
        <v>3189000</v>
      </c>
      <c r="F6" s="18"/>
      <c r="G6" s="18"/>
      <c r="H6" s="18"/>
      <c r="I6" s="30"/>
      <c r="J6" s="30"/>
      <c r="K6" s="30"/>
      <c r="L6" s="30"/>
    </row>
    <row r="7" spans="3:12" x14ac:dyDescent="0.25">
      <c r="C7" s="18">
        <v>382980700</v>
      </c>
      <c r="D7" s="18">
        <v>382980700</v>
      </c>
      <c r="E7" s="18">
        <v>382980700</v>
      </c>
      <c r="F7" s="18"/>
      <c r="G7" s="18"/>
      <c r="H7" s="18"/>
      <c r="I7" s="30"/>
      <c r="J7" s="30"/>
      <c r="K7" s="30"/>
      <c r="L7" s="30"/>
    </row>
    <row r="8" spans="3:12" x14ac:dyDescent="0.25">
      <c r="C8" s="18">
        <v>140187600</v>
      </c>
      <c r="D8" s="18">
        <v>140187600</v>
      </c>
      <c r="E8" s="18">
        <v>140187600</v>
      </c>
      <c r="F8" s="18"/>
      <c r="G8" s="18"/>
      <c r="H8" s="18"/>
      <c r="I8" s="30"/>
      <c r="J8" s="30"/>
      <c r="K8" s="30"/>
      <c r="L8" s="30"/>
    </row>
    <row r="9" spans="3:12" x14ac:dyDescent="0.25">
      <c r="C9" s="18">
        <v>564918500</v>
      </c>
      <c r="D9" s="18">
        <v>556408800</v>
      </c>
      <c r="E9" s="18">
        <v>556408800</v>
      </c>
      <c r="F9" s="18"/>
      <c r="G9" s="18"/>
      <c r="H9" s="18"/>
      <c r="I9" s="30"/>
      <c r="J9" s="30"/>
      <c r="K9" s="30"/>
      <c r="L9" s="30"/>
    </row>
    <row r="10" spans="3:12" x14ac:dyDescent="0.25">
      <c r="C10" s="18">
        <v>5882200</v>
      </c>
      <c r="D10" s="18">
        <v>5882200</v>
      </c>
      <c r="E10" s="18">
        <v>5882200</v>
      </c>
      <c r="F10" s="18"/>
      <c r="G10" s="18"/>
      <c r="H10" s="18"/>
      <c r="I10" s="30"/>
      <c r="J10" s="30"/>
      <c r="K10" s="30"/>
      <c r="L10" s="30"/>
    </row>
    <row r="11" spans="3:12" x14ac:dyDescent="0.25">
      <c r="C11" s="18">
        <v>66427527.329999998</v>
      </c>
      <c r="D11" s="18">
        <v>65973327.329999998</v>
      </c>
      <c r="E11" s="18">
        <v>26916127.329999998</v>
      </c>
      <c r="F11" s="18"/>
      <c r="G11" s="18"/>
      <c r="H11" s="18"/>
      <c r="I11" s="30"/>
      <c r="J11" s="30"/>
      <c r="K11" s="30"/>
      <c r="L11" s="30"/>
    </row>
    <row r="12" spans="3:12" x14ac:dyDescent="0.25">
      <c r="C12" s="18">
        <v>34524600</v>
      </c>
      <c r="D12" s="18">
        <v>34524600</v>
      </c>
      <c r="E12" s="18">
        <v>34524600</v>
      </c>
      <c r="F12" s="18"/>
      <c r="G12" s="18"/>
      <c r="H12" s="18"/>
      <c r="I12" s="30"/>
      <c r="J12" s="30"/>
      <c r="K12" s="30"/>
      <c r="L12" s="30"/>
    </row>
    <row r="13" spans="3:12" x14ac:dyDescent="0.25">
      <c r="C13" s="18">
        <v>24045600</v>
      </c>
      <c r="D13" s="18">
        <v>24045600</v>
      </c>
      <c r="E13" s="18">
        <v>24045600</v>
      </c>
      <c r="F13" s="18"/>
      <c r="G13" s="18"/>
      <c r="H13" s="18"/>
      <c r="I13" s="30"/>
      <c r="J13" s="30"/>
      <c r="K13" s="30"/>
      <c r="L13" s="30"/>
    </row>
    <row r="14" spans="3:12" x14ac:dyDescent="0.25">
      <c r="C14" s="18">
        <v>12828749</v>
      </c>
      <c r="D14" s="18">
        <v>12828749</v>
      </c>
      <c r="E14" s="18">
        <v>12828749</v>
      </c>
      <c r="F14" s="18"/>
      <c r="G14" s="18"/>
      <c r="H14" s="18"/>
      <c r="I14" s="30"/>
      <c r="J14" s="30"/>
      <c r="K14" s="30"/>
      <c r="L14" s="30"/>
    </row>
    <row r="15" spans="3:12" x14ac:dyDescent="0.25">
      <c r="C15" s="18">
        <v>70956830</v>
      </c>
      <c r="D15" s="18">
        <v>70956830</v>
      </c>
      <c r="E15" s="18">
        <v>70956830</v>
      </c>
      <c r="F15" s="18"/>
      <c r="G15" s="18"/>
      <c r="H15" s="18"/>
      <c r="I15" s="30"/>
      <c r="J15" s="30"/>
      <c r="K15" s="30"/>
      <c r="L15" s="30"/>
    </row>
    <row r="16" spans="3:12" x14ac:dyDescent="0.25">
      <c r="C16" s="18">
        <v>16045000</v>
      </c>
      <c r="D16" s="18">
        <v>16045000</v>
      </c>
      <c r="E16" s="18">
        <v>16045000</v>
      </c>
      <c r="F16" s="18"/>
      <c r="G16" s="18"/>
      <c r="H16" s="18"/>
      <c r="I16" s="30"/>
      <c r="J16" s="30"/>
      <c r="K16" s="30"/>
      <c r="L16" s="30"/>
    </row>
    <row r="17" spans="3:12" x14ac:dyDescent="0.25">
      <c r="C17" s="18">
        <v>5450600</v>
      </c>
      <c r="D17" s="18">
        <v>5450600</v>
      </c>
      <c r="E17" s="18">
        <v>5450600</v>
      </c>
      <c r="F17" s="18"/>
      <c r="G17" s="18"/>
      <c r="H17" s="18"/>
      <c r="I17" s="30"/>
      <c r="J17" s="30"/>
      <c r="K17" s="30"/>
      <c r="L17" s="30"/>
    </row>
    <row r="18" spans="3:12" x14ac:dyDescent="0.25">
      <c r="C18" s="18"/>
      <c r="D18" s="18"/>
      <c r="E18" s="18"/>
      <c r="F18" s="18"/>
      <c r="G18" s="18"/>
      <c r="H18" s="18"/>
      <c r="I18" s="30"/>
      <c r="J18" s="30"/>
      <c r="K18" s="30"/>
      <c r="L18" s="30"/>
    </row>
    <row r="19" spans="3:12" x14ac:dyDescent="0.25">
      <c r="C19" s="29">
        <f>SUM(C5:C17)+C18</f>
        <v>1521120806.3299999</v>
      </c>
      <c r="D19" s="29">
        <f t="shared" ref="D19:E19" si="0">SUM(D5:D17)+D18</f>
        <v>1512156906.3299999</v>
      </c>
      <c r="E19" s="29">
        <f t="shared" si="0"/>
        <v>1473099706.3299999</v>
      </c>
      <c r="F19" s="18"/>
      <c r="G19" s="18"/>
      <c r="H19" s="18"/>
      <c r="I19" s="30"/>
      <c r="J19" s="30"/>
      <c r="K19" s="30"/>
      <c r="L19" s="30"/>
    </row>
    <row r="20" spans="3:12" x14ac:dyDescent="0.25">
      <c r="C20" s="18">
        <f>C4-C19</f>
        <v>685561332.67000008</v>
      </c>
      <c r="D20" s="18">
        <f t="shared" ref="D20:E20" si="1">D4-D19</f>
        <v>656429032.67000008</v>
      </c>
      <c r="E20" s="18">
        <f t="shared" si="1"/>
        <v>677929032.67000008</v>
      </c>
      <c r="F20" s="18"/>
      <c r="G20" s="18"/>
      <c r="H20" s="18"/>
      <c r="I20" s="18"/>
      <c r="J20" s="18"/>
      <c r="K20" s="18"/>
      <c r="L20" s="18"/>
    </row>
    <row r="21" spans="3:12" x14ac:dyDescent="0.25">
      <c r="C21" s="18"/>
      <c r="D21" s="18"/>
      <c r="E21" s="18"/>
      <c r="G21" s="29"/>
      <c r="H21" s="29"/>
      <c r="I21" s="18"/>
      <c r="J21" s="18"/>
      <c r="K21" s="18"/>
      <c r="L21" s="18"/>
    </row>
    <row r="22" spans="3:12" x14ac:dyDescent="0.25">
      <c r="C22" s="18"/>
      <c r="D22" s="18"/>
      <c r="E22" s="18"/>
      <c r="I22" s="18"/>
      <c r="J22" s="18"/>
    </row>
    <row r="23" spans="3:12" x14ac:dyDescent="0.25">
      <c r="C23" s="18"/>
      <c r="D23" s="18"/>
      <c r="E23" s="18"/>
      <c r="I23" s="18"/>
      <c r="J23" s="18"/>
    </row>
    <row r="24" spans="3:12" x14ac:dyDescent="0.25">
      <c r="C24" s="18"/>
      <c r="D24" s="18"/>
      <c r="E24" s="18"/>
      <c r="I24" s="18"/>
      <c r="J24" s="18"/>
    </row>
    <row r="25" spans="3:12" x14ac:dyDescent="0.25">
      <c r="C25" s="18"/>
      <c r="D25" s="18"/>
      <c r="E25" s="18"/>
      <c r="I25" s="18"/>
      <c r="J25" s="18"/>
    </row>
    <row r="26" spans="3:12" x14ac:dyDescent="0.25">
      <c r="C26" s="18"/>
      <c r="D26" s="18"/>
      <c r="E26" s="18"/>
      <c r="I26" s="18"/>
      <c r="J26" s="18"/>
    </row>
    <row r="27" spans="3:12" x14ac:dyDescent="0.25">
      <c r="C27" s="18"/>
      <c r="D27" s="18"/>
      <c r="E27" s="18"/>
      <c r="I27" s="18"/>
      <c r="J27" s="18"/>
    </row>
    <row r="28" spans="3:12" x14ac:dyDescent="0.25">
      <c r="C28" s="18"/>
      <c r="D28" s="18"/>
      <c r="E28" s="18"/>
      <c r="I28" s="18"/>
      <c r="J28" s="18"/>
    </row>
    <row r="29" spans="3:12" x14ac:dyDescent="0.25">
      <c r="C29" s="18"/>
      <c r="D29" s="18"/>
      <c r="E29" s="18"/>
      <c r="I29" s="18"/>
      <c r="J29" s="18"/>
    </row>
    <row r="30" spans="3:12" x14ac:dyDescent="0.25">
      <c r="C30" s="18"/>
      <c r="D30" s="18"/>
      <c r="E30" s="18"/>
      <c r="I30" s="18"/>
      <c r="J30" s="18"/>
    </row>
    <row r="31" spans="3:12" x14ac:dyDescent="0.25">
      <c r="C31" s="18"/>
      <c r="D31" s="18"/>
      <c r="E31" s="18"/>
      <c r="I31" s="18"/>
      <c r="J31" s="18"/>
    </row>
    <row r="32" spans="3:12" x14ac:dyDescent="0.25">
      <c r="C32" s="18"/>
      <c r="D32" s="18"/>
      <c r="E32" s="18"/>
    </row>
    <row r="33" spans="3:5" x14ac:dyDescent="0.25">
      <c r="C33" s="18"/>
      <c r="D33" s="18"/>
      <c r="E33" s="18"/>
    </row>
    <row r="34" spans="3:5" x14ac:dyDescent="0.25">
      <c r="C34" s="18"/>
      <c r="D34" s="18"/>
      <c r="E34" s="18"/>
    </row>
    <row r="35" spans="3:5" x14ac:dyDescent="0.25">
      <c r="C35" s="18"/>
      <c r="D35" s="18"/>
      <c r="E35" s="18"/>
    </row>
    <row r="36" spans="3:5" x14ac:dyDescent="0.25">
      <c r="C36" s="18"/>
      <c r="D36" s="18"/>
      <c r="E36" s="18"/>
    </row>
    <row r="37" spans="3:5" x14ac:dyDescent="0.25">
      <c r="C37" s="18"/>
      <c r="D37" s="18"/>
      <c r="E37" s="18"/>
    </row>
    <row r="38" spans="3:5" x14ac:dyDescent="0.25">
      <c r="C38" s="18"/>
      <c r="D38" s="18"/>
      <c r="E38" s="18"/>
    </row>
    <row r="39" spans="3:5" x14ac:dyDescent="0.25">
      <c r="C39" s="18"/>
      <c r="D39" s="18"/>
      <c r="E39" s="1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120</dc:creator>
  <cp:lastModifiedBy>121</cp:lastModifiedBy>
  <cp:lastPrinted>2024-11-08T04:06:37Z</cp:lastPrinted>
  <dcterms:created xsi:type="dcterms:W3CDTF">2017-10-12T06:20:04Z</dcterms:created>
  <dcterms:modified xsi:type="dcterms:W3CDTF">2024-11-13T01:25:22Z</dcterms:modified>
</cp:coreProperties>
</file>